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Y.AKATSUKA\Desktop\misc\4輪\"/>
    </mc:Choice>
  </mc:AlternateContent>
  <xr:revisionPtr revIDLastSave="0" documentId="8_{41B48EFE-61EC-4259-A9BE-1EB7449AE5E8}" xr6:coauthVersionLast="47" xr6:coauthVersionMax="47" xr10:uidLastSave="{00000000-0000-0000-0000-000000000000}"/>
  <bookViews>
    <workbookView xWindow="-108" yWindow="-108" windowWidth="23256" windowHeight="12720" tabRatio="730" firstSheet="1" activeTab="1"/>
  </bookViews>
  <sheets>
    <sheet name="ﾉｰﾏﾙﾊﾞﾈ測定結果" sheetId="1" r:id="rId1"/>
    <sheet name="text" sheetId="2" r:id="rId2"/>
    <sheet name="ｽﾍﾟｰｻ追加検討" sheetId="3" r:id="rId3"/>
    <sheet name="追加ﾊﾞﾈ検討" sheetId="4" r:id="rId4"/>
    <sheet name="規格ﾊﾞﾈ検討" sheetId="5" r:id="rId5"/>
    <sheet name="ｻﾐﾆNO5359ﾊﾞﾈ荷重測定結果" sheetId="6" r:id="rId6"/>
    <sheet name="懸念点&amp;結果" sheetId="7" r:id="rId7"/>
    <sheet name="inch-mm換算" sheetId="8" r:id="rId8"/>
  </sheets>
  <definedNames>
    <definedName name="_xlnm.Print_Area" localSheetId="1">text!$A$1:$A$69</definedName>
  </definedNames>
  <calcPr calcId="191029"/>
</workbook>
</file>

<file path=xl/calcChain.xml><?xml version="1.0" encoding="utf-8"?>
<calcChain xmlns="http://schemas.openxmlformats.org/spreadsheetml/2006/main">
  <c r="D3" i="8" l="1"/>
  <c r="E3" i="8" s="1"/>
  <c r="B4" i="8"/>
  <c r="B5" i="8" s="1"/>
  <c r="D4" i="8"/>
  <c r="B8" i="6"/>
  <c r="F8" i="6"/>
  <c r="B9" i="6"/>
  <c r="E9" i="6"/>
  <c r="F9" i="6" s="1"/>
  <c r="B10" i="6"/>
  <c r="E10" i="6"/>
  <c r="F10" i="6" s="1"/>
  <c r="B11" i="6"/>
  <c r="C11" i="6" s="1"/>
  <c r="B12" i="6"/>
  <c r="E12" i="6"/>
  <c r="F12" i="6"/>
  <c r="K12" i="6"/>
  <c r="B13" i="6"/>
  <c r="E13" i="6"/>
  <c r="F13" i="6" s="1"/>
  <c r="K13" i="6"/>
  <c r="D9" i="6" s="1"/>
  <c r="B14" i="6"/>
  <c r="D14" i="6"/>
  <c r="E14" i="6"/>
  <c r="F14" i="6" s="1"/>
  <c r="B15" i="6"/>
  <c r="E15" i="6"/>
  <c r="F15" i="6"/>
  <c r="B16" i="6"/>
  <c r="C16" i="6"/>
  <c r="D16" i="6" s="1"/>
  <c r="B17" i="6"/>
  <c r="C17" i="6" s="1"/>
  <c r="C13" i="3"/>
  <c r="F13" i="3"/>
  <c r="C14" i="3"/>
  <c r="F14" i="3"/>
  <c r="G14" i="3"/>
  <c r="C15" i="3"/>
  <c r="F15" i="3"/>
  <c r="G15" i="3"/>
  <c r="C16" i="3"/>
  <c r="F16" i="3"/>
  <c r="G16" i="3"/>
  <c r="C17" i="3"/>
  <c r="F17" i="3"/>
  <c r="G17" i="3"/>
  <c r="C18" i="3"/>
  <c r="F18" i="3"/>
  <c r="G18" i="3"/>
  <c r="C19" i="3"/>
  <c r="F19" i="3"/>
  <c r="G19" i="3"/>
  <c r="C20" i="3"/>
  <c r="F20" i="3"/>
  <c r="G20" i="3"/>
  <c r="C25" i="3"/>
  <c r="D25" i="3" s="1"/>
  <c r="E25" i="3" s="1"/>
  <c r="C26" i="3"/>
  <c r="D26" i="3"/>
  <c r="E26" i="3" s="1"/>
  <c r="C27" i="3"/>
  <c r="D27" i="3"/>
  <c r="E27" i="3" s="1"/>
  <c r="H33" i="3"/>
  <c r="H34" i="3"/>
  <c r="G7" i="1"/>
  <c r="B8" i="1"/>
  <c r="F8" i="1"/>
  <c r="G8" i="1" s="1"/>
  <c r="B9" i="1"/>
  <c r="F9" i="1"/>
  <c r="G9" i="1"/>
  <c r="B10" i="1"/>
  <c r="F10" i="1"/>
  <c r="G10" i="1" s="1"/>
  <c r="B11" i="1"/>
  <c r="F11" i="1"/>
  <c r="G11" i="1"/>
  <c r="B12" i="1"/>
  <c r="F12" i="1"/>
  <c r="G12" i="1" s="1"/>
  <c r="B13" i="1"/>
  <c r="F13" i="1"/>
  <c r="G13" i="1"/>
  <c r="B14" i="1"/>
  <c r="F14" i="1"/>
  <c r="G14" i="1" s="1"/>
  <c r="L14" i="1"/>
  <c r="L15" i="1"/>
  <c r="E7" i="1" s="1"/>
  <c r="C32" i="1"/>
  <c r="D32" i="1"/>
  <c r="E32" i="1"/>
  <c r="C33" i="1"/>
  <c r="D33" i="1"/>
  <c r="E33" i="1" s="1"/>
  <c r="C34" i="1"/>
  <c r="D34" i="1"/>
  <c r="E34" i="1" s="1"/>
  <c r="C35" i="1"/>
  <c r="D35" i="1"/>
  <c r="E35" i="1" s="1"/>
  <c r="C36" i="1"/>
  <c r="D36" i="1"/>
  <c r="E36" i="1" s="1"/>
  <c r="C37" i="1"/>
  <c r="D37" i="1"/>
  <c r="E37" i="1"/>
  <c r="C38" i="1"/>
  <c r="D38" i="1"/>
  <c r="E38" i="1" s="1"/>
  <c r="C39" i="1"/>
  <c r="D39" i="1"/>
  <c r="E39" i="1"/>
  <c r="C40" i="1"/>
  <c r="D40" i="1"/>
  <c r="E40" i="1"/>
  <c r="E7" i="5"/>
  <c r="F8" i="5" s="1"/>
  <c r="G8" i="5" s="1"/>
  <c r="I8" i="5" s="1"/>
  <c r="J8" i="5" s="1"/>
  <c r="J7" i="5"/>
  <c r="F9" i="5"/>
  <c r="G9" i="5"/>
  <c r="I9" i="5" s="1"/>
  <c r="J9" i="5" s="1"/>
  <c r="J17" i="5"/>
  <c r="F18" i="5"/>
  <c r="G18" i="5" s="1"/>
  <c r="I18" i="5" s="1"/>
  <c r="J18" i="5" s="1"/>
  <c r="F19" i="5"/>
  <c r="G19" i="5"/>
  <c r="I19" i="5" s="1"/>
  <c r="J19" i="5" s="1"/>
  <c r="F20" i="5"/>
  <c r="G20" i="5" s="1"/>
  <c r="I20" i="5" s="1"/>
  <c r="J20" i="5" s="1"/>
  <c r="E28" i="5"/>
  <c r="F29" i="5" s="1"/>
  <c r="G29" i="5" s="1"/>
  <c r="I29" i="5" s="1"/>
  <c r="J29" i="5" s="1"/>
  <c r="J28" i="5"/>
  <c r="F30" i="5"/>
  <c r="G30" i="5" s="1"/>
  <c r="I30" i="5" s="1"/>
  <c r="J30" i="5" s="1"/>
  <c r="E38" i="5"/>
  <c r="H38" i="5"/>
  <c r="J38" i="5"/>
  <c r="F39" i="5"/>
  <c r="G39" i="5" s="1"/>
  <c r="I39" i="5" s="1"/>
  <c r="J39" i="5" s="1"/>
  <c r="F40" i="5"/>
  <c r="G40" i="5" s="1"/>
  <c r="I40" i="5" s="1"/>
  <c r="J40" i="5" s="1"/>
  <c r="F41" i="5"/>
  <c r="G41" i="5" s="1"/>
  <c r="I41" i="5" s="1"/>
  <c r="J41" i="5" s="1"/>
  <c r="E48" i="5"/>
  <c r="F51" i="5" s="1"/>
  <c r="G51" i="5" s="1"/>
  <c r="H48" i="5"/>
  <c r="J48" i="5"/>
  <c r="F50" i="5"/>
  <c r="G50" i="5"/>
  <c r="H50" i="5" s="1"/>
  <c r="L58" i="5"/>
  <c r="J62" i="5" s="1"/>
  <c r="J63" i="5" s="1"/>
  <c r="C61" i="5"/>
  <c r="D61" i="5"/>
  <c r="E61" i="5"/>
  <c r="F61" i="5"/>
  <c r="F62" i="5" s="1"/>
  <c r="F63" i="5" s="1"/>
  <c r="G61" i="5"/>
  <c r="G62" i="5" s="1"/>
  <c r="G63" i="5" s="1"/>
  <c r="H61" i="5"/>
  <c r="I61" i="5"/>
  <c r="J61" i="5"/>
  <c r="K61" i="5"/>
  <c r="L61" i="5"/>
  <c r="M61" i="5"/>
  <c r="C62" i="5"/>
  <c r="C63" i="5" s="1"/>
  <c r="D62" i="5"/>
  <c r="D63" i="5" s="1"/>
  <c r="E62" i="5"/>
  <c r="E63" i="5" s="1"/>
  <c r="I62" i="5"/>
  <c r="K62" i="5"/>
  <c r="K63" i="5" s="1"/>
  <c r="L62" i="5"/>
  <c r="L63" i="5" s="1"/>
  <c r="M62" i="5"/>
  <c r="M63" i="5" s="1"/>
  <c r="I63" i="5"/>
  <c r="A6" i="7"/>
  <c r="A7" i="7" s="1"/>
  <c r="A8" i="7" s="1"/>
  <c r="A15" i="7"/>
  <c r="A16" i="7" s="1"/>
  <c r="A17" i="7" s="1"/>
  <c r="C13" i="4"/>
  <c r="F13" i="4"/>
  <c r="C14" i="4"/>
  <c r="F14" i="4"/>
  <c r="G14" i="4"/>
  <c r="C15" i="4"/>
  <c r="F15" i="4"/>
  <c r="G15" i="4"/>
  <c r="C16" i="4"/>
  <c r="F16" i="4"/>
  <c r="G16" i="4"/>
  <c r="C17" i="4"/>
  <c r="F17" i="4"/>
  <c r="G17" i="4"/>
  <c r="C18" i="4"/>
  <c r="F18" i="4"/>
  <c r="G18" i="4"/>
  <c r="C19" i="4"/>
  <c r="F19" i="4"/>
  <c r="G19" i="4"/>
  <c r="C20" i="4"/>
  <c r="D29" i="4" s="1"/>
  <c r="F20" i="4"/>
  <c r="G20" i="4"/>
  <c r="C27" i="4"/>
  <c r="D27" i="4"/>
  <c r="E27" i="4" s="1"/>
  <c r="D28" i="4"/>
  <c r="E28" i="4" s="1"/>
  <c r="K33" i="4"/>
  <c r="K34" i="4"/>
  <c r="K35" i="4"/>
  <c r="K36" i="4"/>
  <c r="K37" i="4"/>
  <c r="K38" i="4"/>
  <c r="K39" i="4"/>
  <c r="K40" i="4"/>
  <c r="K41" i="4"/>
  <c r="F27" i="3" l="1"/>
  <c r="G27" i="3"/>
  <c r="E29" i="4"/>
  <c r="C29" i="4"/>
  <c r="G26" i="3"/>
  <c r="F26" i="3"/>
  <c r="G27" i="4"/>
  <c r="G33" i="4" s="1"/>
  <c r="F27" i="4"/>
  <c r="F25" i="3"/>
  <c r="G25" i="3"/>
  <c r="D17" i="6"/>
  <c r="E17" i="6"/>
  <c r="F17" i="6" s="1"/>
  <c r="D11" i="6"/>
  <c r="E11" i="6"/>
  <c r="F11" i="6" s="1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D5" i="8"/>
  <c r="I51" i="5"/>
  <c r="J51" i="5" s="1"/>
  <c r="H51" i="5"/>
  <c r="F28" i="4"/>
  <c r="G28" i="4"/>
  <c r="G34" i="4" s="1"/>
  <c r="E4" i="8"/>
  <c r="E10" i="8"/>
  <c r="E7" i="8"/>
  <c r="F3" i="8"/>
  <c r="E5" i="8"/>
  <c r="C28" i="4"/>
  <c r="E13" i="1"/>
  <c r="E11" i="1"/>
  <c r="E9" i="1"/>
  <c r="H62" i="5"/>
  <c r="H63" i="5" s="1"/>
  <c r="I50" i="5"/>
  <c r="J50" i="5" s="1"/>
  <c r="F49" i="5"/>
  <c r="G49" i="5" s="1"/>
  <c r="C4" i="8"/>
  <c r="F10" i="5"/>
  <c r="G10" i="5" s="1"/>
  <c r="I10" i="5" s="1"/>
  <c r="J10" i="5" s="1"/>
  <c r="D12" i="6"/>
  <c r="D8" i="6"/>
  <c r="D10" i="6"/>
  <c r="E14" i="1"/>
  <c r="E12" i="1"/>
  <c r="E10" i="1"/>
  <c r="E8" i="1"/>
  <c r="D15" i="6"/>
  <c r="D6" i="8"/>
  <c r="D13" i="6"/>
  <c r="E16" i="6"/>
  <c r="F16" i="6" s="1"/>
  <c r="F31" i="5"/>
  <c r="G31" i="5" s="1"/>
  <c r="I31" i="5" s="1"/>
  <c r="J31" i="5" s="1"/>
  <c r="E8" i="8" l="1"/>
  <c r="H49" i="5"/>
  <c r="I49" i="5"/>
  <c r="J49" i="5" s="1"/>
  <c r="G29" i="4"/>
  <c r="G35" i="4" s="1"/>
  <c r="F29" i="4"/>
  <c r="F4" i="8"/>
  <c r="F10" i="8"/>
  <c r="F12" i="8"/>
  <c r="F14" i="8"/>
  <c r="F16" i="8"/>
  <c r="F18" i="8"/>
  <c r="F7" i="8"/>
  <c r="G3" i="8"/>
  <c r="F9" i="8"/>
  <c r="F6" i="8"/>
  <c r="F11" i="8"/>
  <c r="F13" i="8"/>
  <c r="F15" i="8"/>
  <c r="F17" i="8"/>
  <c r="F5" i="8"/>
  <c r="F8" i="8"/>
  <c r="E6" i="8"/>
  <c r="E9" i="8"/>
  <c r="G5" i="8" l="1"/>
  <c r="G8" i="8"/>
  <c r="G20" i="8"/>
  <c r="G28" i="8"/>
  <c r="G23" i="8"/>
  <c r="G31" i="8"/>
  <c r="G4" i="8"/>
  <c r="G10" i="8"/>
  <c r="G12" i="8"/>
  <c r="G14" i="8"/>
  <c r="G16" i="8"/>
  <c r="G18" i="8"/>
  <c r="G26" i="8"/>
  <c r="G34" i="8"/>
  <c r="G7" i="8"/>
  <c r="G21" i="8"/>
  <c r="G29" i="8"/>
  <c r="H3" i="8"/>
  <c r="G24" i="8"/>
  <c r="G32" i="8"/>
  <c r="G9" i="8"/>
  <c r="G19" i="8"/>
  <c r="G27" i="8"/>
  <c r="G6" i="8"/>
  <c r="G11" i="8"/>
  <c r="G13" i="8"/>
  <c r="G15" i="8"/>
  <c r="G17" i="8"/>
  <c r="G22" i="8"/>
  <c r="G30" i="8"/>
  <c r="G25" i="8"/>
  <c r="G33" i="8"/>
  <c r="H25" i="8" l="1"/>
  <c r="H33" i="8"/>
  <c r="H5" i="8"/>
  <c r="H8" i="8"/>
  <c r="H20" i="8"/>
  <c r="H28" i="8"/>
  <c r="H37" i="8"/>
  <c r="H41" i="8"/>
  <c r="H45" i="8"/>
  <c r="H49" i="8"/>
  <c r="H53" i="8"/>
  <c r="H57" i="8"/>
  <c r="H61" i="8"/>
  <c r="H65" i="8"/>
  <c r="H23" i="8"/>
  <c r="H31" i="8"/>
  <c r="H4" i="8"/>
  <c r="H10" i="8"/>
  <c r="H12" i="8"/>
  <c r="H14" i="8"/>
  <c r="H16" i="8"/>
  <c r="H18" i="8"/>
  <c r="H26" i="8"/>
  <c r="H34" i="8"/>
  <c r="H38" i="8"/>
  <c r="H42" i="8"/>
  <c r="H46" i="8"/>
  <c r="H50" i="8"/>
  <c r="H54" i="8"/>
  <c r="H58" i="8"/>
  <c r="H62" i="8"/>
  <c r="H66" i="8"/>
  <c r="H7" i="8"/>
  <c r="H21" i="8"/>
  <c r="H29" i="8"/>
  <c r="H24" i="8"/>
  <c r="H32" i="8"/>
  <c r="H35" i="8"/>
  <c r="H39" i="8"/>
  <c r="H43" i="8"/>
  <c r="H47" i="8"/>
  <c r="H51" i="8"/>
  <c r="H55" i="8"/>
  <c r="H59" i="8"/>
  <c r="H63" i="8"/>
  <c r="H9" i="8"/>
  <c r="H19" i="8"/>
  <c r="H27" i="8"/>
  <c r="H6" i="8"/>
  <c r="H11" i="8"/>
  <c r="H13" i="8"/>
  <c r="H15" i="8"/>
  <c r="H17" i="8"/>
  <c r="H22" i="8"/>
  <c r="H30" i="8"/>
  <c r="H36" i="8"/>
  <c r="H40" i="8"/>
  <c r="H44" i="8"/>
  <c r="H48" i="8"/>
  <c r="H52" i="8"/>
  <c r="H56" i="8"/>
  <c r="H60" i="8"/>
  <c r="H64" i="8"/>
</calcChain>
</file>

<file path=xl/sharedStrings.xml><?xml version="1.0" encoding="utf-8"?>
<sst xmlns="http://schemas.openxmlformats.org/spreadsheetml/2006/main" count="416" uniqueCount="217">
  <si>
    <t xml:space="preserve">Birkin KENT用ノーマルオイルポンプのプレッシャレギュレータ </t>
  </si>
  <si>
    <t>実測値</t>
  </si>
  <si>
    <t>ノーマルリリーフバネの実測値と計算油圧</t>
  </si>
  <si>
    <t>計算値</t>
  </si>
  <si>
    <t>＊応力は概算値</t>
  </si>
  <si>
    <t>＊ﾌﾟﾗﾝｼﾞｬ径はφ14mm</t>
  </si>
  <si>
    <t>ﾉｰﾏﾙﾊﾞﾈ諸元(実測)</t>
  </si>
  <si>
    <t>バネ長さL(mm)</t>
  </si>
  <si>
    <t>バネたわみx(mm)</t>
  </si>
  <si>
    <t>バネ荷重F(gf) [実測値］</t>
  </si>
  <si>
    <t>応力T(kgf/mm2)</t>
  </si>
  <si>
    <t>油圧P(kgf/cm2)</t>
  </si>
  <si>
    <t>油圧P(PSI)</t>
  </si>
  <si>
    <t>リリーフ状態</t>
  </si>
  <si>
    <t>線径(mm)</t>
  </si>
  <si>
    <t>自由長：40</t>
  </si>
  <si>
    <t>中心径(mm)</t>
  </si>
  <si>
    <t>有効巻数</t>
  </si>
  <si>
    <t>総巻数</t>
  </si>
  <si>
    <t>Set(閉弁）</t>
  </si>
  <si>
    <t>端面研磨</t>
  </si>
  <si>
    <t>有り</t>
  </si>
  <si>
    <t>自由長(mm)</t>
  </si>
  <si>
    <t>開弁開始</t>
  </si>
  <si>
    <t>設計狙い油圧は35psi？</t>
  </si>
  <si>
    <t>材質</t>
  </si>
  <si>
    <t>SWP-A?</t>
  </si>
  <si>
    <t>ﾊﾞﾈ定数(gf/mm)</t>
  </si>
  <si>
    <t>リリーフ孔全開</t>
  </si>
  <si>
    <t>ﾊﾞﾈ指数</t>
  </si>
  <si>
    <t>応力修正係数</t>
  </si>
  <si>
    <t>Ref.</t>
  </si>
  <si>
    <t>変更目標</t>
  </si>
  <si>
    <t>１ポンド＝453.592g</t>
  </si>
  <si>
    <t>油圧(kgf/cm2)</t>
  </si>
  <si>
    <t>油圧(psi)</t>
  </si>
  <si>
    <t>必要バネ力(gf)</t>
  </si>
  <si>
    <t>必要バネ力(N)</t>
  </si>
  <si>
    <t>１インチ＝2.54cm</t>
  </si>
  <si>
    <t>1kgf/cm2=2.54×2.54/453.592×1000=14.2psi</t>
  </si>
  <si>
    <t>1kgf=9.8N</t>
  </si>
  <si>
    <t>1kgf/mm2=9.8MPa</t>
  </si>
  <si>
    <t>バネ変更時の注意点</t>
  </si>
  <si>
    <t>・所望の開弁時圧力となる開弁時荷重が得られている．</t>
  </si>
  <si>
    <t>開弁時油圧の変更目標はこの辺り （国産並）</t>
  </si>
  <si>
    <t>・全開時圧力が高くなりすぎない．(10kgf/cm2以下)</t>
  </si>
  <si>
    <t>・開弁時のバネの応力が，疲労限応力に対し余裕が有る．</t>
  </si>
  <si>
    <t>・全開時のバネの応力が，静荷重時許容応力に対して余裕が有る．</t>
  </si>
  <si>
    <t>＊ﾌﾟﾗﾝｼﾞｬ径はφ14mm(面積は1.54cm2)</t>
  </si>
  <si>
    <t>・コイル外径，内径，密着高さなど，形状的に組込みが可能である．</t>
  </si>
  <si>
    <t>添付図：オイルポンプ形状概略図</t>
  </si>
  <si>
    <r>
      <t>●</t>
    </r>
    <r>
      <rPr>
        <b/>
        <sz val="9"/>
        <rFont val="ＭＳ Ｐゴシック"/>
        <family val="3"/>
        <charset val="128"/>
      </rPr>
      <t>目的</t>
    </r>
    <r>
      <rPr>
        <sz val="9"/>
        <rFont val="ＭＳ Ｐゴシック"/>
        <family val="3"/>
        <charset val="128"/>
      </rPr>
      <t xml:space="preserve"> </t>
    </r>
  </si>
  <si>
    <t>●結論</t>
  </si>
  <si>
    <t xml:space="preserve">1)推奨案 </t>
  </si>
  <si>
    <r>
      <t xml:space="preserve"> ①</t>
    </r>
    <r>
      <rPr>
        <u/>
        <sz val="9"/>
        <rFont val="ＭＳ Ｐゴシック"/>
        <family val="3"/>
        <charset val="128"/>
      </rPr>
      <t>ｵｲﾙﾎﾟﾝﾌﾟに内蔵されているﾘﾘｰﾌｽﾌﾟﾘﾝｸﾞを変更する方法</t>
    </r>
  </si>
  <si>
    <t xml:space="preserve">    ｻﾐﾆ株式会社(* 製汎用ｽﾌﾟﾘﾝｸﾞNO.5359を使用する事により，4.9(kgf/cm2)のﾘﾘｰﾌ孔開弁時油圧を得る事が出来る．</t>
  </si>
  <si>
    <r>
      <t xml:space="preserve">    ﾘﾘｰﾌ孔全開時のｽﾌﾟﾘﾝｸﾞの修正ねじり応力が75.7(kgf/mm</t>
    </r>
    <r>
      <rPr>
        <vertAlign val="super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)と</t>
    </r>
  </si>
  <si>
    <t xml:space="preserve">   若干高いが，実使用上の問題はないものと考える．(詳細後述)</t>
  </si>
  <si>
    <t>2)その他の案</t>
  </si>
  <si>
    <t xml:space="preserve"> ①ﾉｰﾏﾙｽﾌﾟﾘﾝｸﾞを使用し，ｽﾍﾟｰｻでSet時のｽﾌﾟﾘﾝｸﾞたわみを増加させて開弁時荷重を増加させる方法</t>
  </si>
  <si>
    <t xml:space="preserve">   ﾉｰﾏﾙﾊﾞﾈのﾊﾞﾈ定数(実測0.217kgf/mm)で油圧を2.5(kgf/cm2)増加させる為には，17.7mmのｽﾍﾟｰｻが必要となるが，ﾊﾞﾈ作動長不足(密着)と</t>
  </si>
  <si>
    <t xml:space="preserve">  ｽﾌﾟﾘﾝｸﾞのねじり応力過大により，実現不可である．</t>
  </si>
  <si>
    <r>
      <t xml:space="preserve">  ＃必要ｽﾍﾟｰｻ厚=2.5(kgf/cm</t>
    </r>
    <r>
      <rPr>
        <vertAlign val="super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 xml:space="preserve">)×{1.4(cm)^2×π/4} / 0.217(kgf/mm)=17.7(mm)   </t>
    </r>
    <r>
      <rPr>
        <vertAlign val="superscript"/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 xml:space="preserve"> {ﾌﾟﾗﾝｼﾞｬ直径=1.4cm}</t>
    </r>
  </si>
  <si>
    <r>
      <t>②</t>
    </r>
    <r>
      <rPr>
        <u/>
        <sz val="9"/>
        <rFont val="ＭＳ Ｐゴシック"/>
        <family val="3"/>
        <charset val="128"/>
      </rPr>
      <t>ﾉｰﾏﾙｽﾌﾟﾘﾝｸﾞと追加ｽﾌﾟﾘﾝｸﾞを並列に使用する方法 (ﾀﾞﾌﾞﾙｽﾌﾟﾘﾝｸﾞ)</t>
    </r>
  </si>
  <si>
    <t xml:space="preserve">  目的の開弁時荷重を得る設定は可能だが，敢えてﾀﾞﾌﾞﾙｽﾌﾟﾘﾝｸﾞにする理由はなく合理性に欠ける．</t>
  </si>
  <si>
    <r>
      <t>●</t>
    </r>
    <r>
      <rPr>
        <b/>
        <sz val="9"/>
        <rFont val="ＭＳ Ｐゴシック"/>
        <family val="3"/>
        <charset val="128"/>
      </rPr>
      <t>ｽﾌﾟﾘﾝｸﾞの選定</t>
    </r>
  </si>
  <si>
    <t xml:space="preserve"> ﾉｰﾏﾙｵｲﾙﾎﾟﾝﾌﾟの各部寸法実測結果から，新規ｽﾌﾟﾘﾝｸﾞをｻﾐﾆ(株)の汎用品の中から選定した．（ｵｲﾙﾎﾟﾝﾌﾟ寸法詳細は添付図面参照）</t>
  </si>
  <si>
    <t xml:space="preserve"> ﾉｰﾏﾙｽﾌﾟﾘﾝｸﾞと新規ｽﾌﾟﾘﾝｸﾞ（ｻﾐﾆNO.5359）を上記ｵｲﾙﾎﾟﾝﾌﾟ適用した場合の，各作動状態での油圧及び概算ねじり応力τを下表に示す．</t>
  </si>
  <si>
    <t xml:space="preserve">    ＊全開時荷重(油圧)は最大圧縮に近いため参考値</t>
  </si>
  <si>
    <r>
      <t>●</t>
    </r>
    <r>
      <rPr>
        <b/>
        <sz val="9"/>
        <rFont val="ＭＳ Ｐゴシック"/>
        <family val="3"/>
        <charset val="128"/>
      </rPr>
      <t>ｻﾐﾆNO.5359適用時の所見</t>
    </r>
  </si>
  <si>
    <t>　予測に使った各数値：SWP-Aの引張強さσB= 190(kgf/mm2)，上限応力係数τmax/σB=47.8/190=0.26，上下限応力比γ=18.7/47.8=0.4</t>
  </si>
  <si>
    <t>　＃走行中は47.8(kgf/mm2)付近で常用される為，上下限応力比は更に小さく有利な方向である．</t>
  </si>
  <si>
    <t>・ﾘﾘｰﾌ孔全開時油圧 ：国産ｴﾝｼﾞﾝのﾘﾘｰﾌ孔全開時油圧と同ﾚﾍﾞﾙ｛10(kgf/cm2) ｝以下であり，問題ないと思われる．</t>
  </si>
  <si>
    <r>
      <t>・     〃     応力 ：ﾘﾘｰﾌ孔全開時応力(75.7kgf/mm</t>
    </r>
    <r>
      <rPr>
        <vertAlign val="super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)はﾉｰﾏﾙｽﾌﾟﾘﾝｸﾞと略同等で，</t>
    </r>
    <r>
      <rPr>
        <vertAlign val="superscript"/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応力許容限</t>
    </r>
    <r>
      <rPr>
        <vertAlign val="superscript"/>
        <sz val="9"/>
        <rFont val="ＭＳ Ｐゴシック"/>
        <family val="3"/>
        <charset val="128"/>
      </rPr>
      <t>(***</t>
    </r>
    <r>
      <rPr>
        <sz val="9"/>
        <rFont val="ＭＳ Ｐゴシック"/>
        <family val="3"/>
        <charset val="128"/>
      </rPr>
      <t>に対して余裕は無いが，以下理由から</t>
    </r>
  </si>
  <si>
    <t>　疲れを考慮する必要が無い為，実使用上問題ないと思われる．</t>
  </si>
  <si>
    <t>　＃通常，ﾘﾘｰﾌ孔全開状態は極冷間の始動時だけであり，一般使用では頻度が低い．又，全開状態となっても，油温が上昇し粘度が低下すれば</t>
  </si>
  <si>
    <t>　＃油圧は落ちるので，その持続時間は比較的短い．</t>
  </si>
  <si>
    <t>●その他</t>
  </si>
  <si>
    <t>・本検討は理解しやすいように，SI単位系ではなく従来の工業単位系で表記しています．</t>
  </si>
  <si>
    <t>・本検討は，BIRKIN KENT(年式不明)用ﾉｰﾏﾙｵｲﾙﾎﾟﾝﾌﾟ(n=1)の実測値(ﾎﾟﾝﾌﾟ形状，ﾊﾞﾈ荷重)を元に行っています．</t>
  </si>
  <si>
    <t>　従って，全てのKENTｴﾝｼﾞﾝ用ｵｲﾙﾎﾟﾝﾌﾟに対して，ｻﾐﾆNO.5359の適合を保証するものではありません．</t>
  </si>
  <si>
    <t>・本検討はあくまで机上検討であり，性能･信頼性に関する実機評価は実施していません．</t>
  </si>
  <si>
    <t>・本検討に基づいて油圧設定変更を実施される場合は，自己責任においてのみ実施して下さい．</t>
  </si>
  <si>
    <t>以上</t>
  </si>
  <si>
    <t>ノーマルリリーフバネ＋スペーサの検討</t>
  </si>
  <si>
    <t>入力値</t>
  </si>
  <si>
    <t>ノーマル実測</t>
  </si>
  <si>
    <t>＊応力は概略計算値</t>
  </si>
  <si>
    <t>note</t>
  </si>
  <si>
    <t>Free</t>
  </si>
  <si>
    <t>ノーマルスプリング＋スペーサ検討</t>
  </si>
  <si>
    <t>ｽﾍﾟｰｻ厚 Ts1=</t>
  </si>
  <si>
    <t>バネ荷重F1(gf) ［計算値］</t>
  </si>
  <si>
    <t>応力T1(kgf/mm2)</t>
  </si>
  <si>
    <t>油圧P1(kgf/cm2)</t>
  </si>
  <si>
    <t>・バネ定数が低く、数ミリのスペーサでは油圧があまりあがらない。(ｽﾍﾟｰｻ1mmあたり、開弁開始油圧は約0.14kgf/cm2上昇)</t>
  </si>
  <si>
    <t>・ﾘﾘｰﾌ孔全開時にバネが密着する設定とすると、ｽﾍﾟｰｻ追加は3mmまでしか出来ない。</t>
  </si>
  <si>
    <r>
      <t>・3mmのｽﾍﾟｰｻを入れた場合、開弁開始油圧は3kgf/cm2弱で目標未達、また応力が</t>
    </r>
    <r>
      <rPr>
        <sz val="11"/>
        <rFont val="ＭＳ Ｐゴシック"/>
        <charset val="128"/>
      </rPr>
      <t>74kgf/cm2</t>
    </r>
    <r>
      <rPr>
        <sz val="11"/>
        <rFont val="ＭＳ Ｐゴシック"/>
        <charset val="128"/>
      </rPr>
      <t>と高くなりヘタリ懸念大。</t>
    </r>
  </si>
  <si>
    <r>
      <t>・3mm以上のｽﾍﾟｰｻを入れる場合は、ﾘﾘｰﾌ孔の全開時開口面積が減少する</t>
    </r>
    <r>
      <rPr>
        <sz val="11"/>
        <rFont val="ＭＳ Ｐゴシック"/>
        <charset val="128"/>
      </rPr>
      <t>為、実機評価が必要。</t>
    </r>
  </si>
  <si>
    <t>バネ密着長</t>
  </si>
  <si>
    <t>結論</t>
  </si>
  <si>
    <t>密着時のバネたわみ</t>
  </si>
  <si>
    <t>・ノーマルバネ＋スペーサでは油圧を十分上げられない。</t>
  </si>
  <si>
    <t>・ノーマルバネに応力余裕は無く、スペーサを追加すると応力増によりバネがヘタる可能性大。</t>
  </si>
  <si>
    <t>ノーマルリリーフバネ＋追加スプリングの検討</t>
  </si>
  <si>
    <t>１．ノーマルスプリング</t>
  </si>
  <si>
    <t>２．追加スプリング(並列ダブルスプリング検討）</t>
  </si>
  <si>
    <t>ｋ(gf/mm)＝</t>
  </si>
  <si>
    <t>自由長(mm)＝</t>
  </si>
  <si>
    <t>ｽﾍﾟｰｻ厚 Ts2=</t>
  </si>
  <si>
    <t>バネ荷重F2(gf)［計算値］</t>
  </si>
  <si>
    <t>応力T2(kgf/mm2)</t>
  </si>
  <si>
    <t>油圧P2(kgf/cm2)</t>
  </si>
  <si>
    <t>L：長さ</t>
  </si>
  <si>
    <t xml:space="preserve">                   ノーマルスプリング＋(追加スプリング＋スペーサ)のトータル油圧</t>
  </si>
  <si>
    <t>x：たわみ</t>
  </si>
  <si>
    <t>油圧Pt(kgf/cm2)</t>
  </si>
  <si>
    <t>必要バネ荷重(gf)</t>
  </si>
  <si>
    <t>F：荷重</t>
  </si>
  <si>
    <t>T：応力</t>
  </si>
  <si>
    <t>P：油圧</t>
  </si>
  <si>
    <t>EM900のキャリッジタイミングベルトのテンショナスプリングdata</t>
  </si>
  <si>
    <t>・追加スプリング(EM900のテンショナスプリング)＋追加スプリング用スペーサ8.5mmで、4.0kgf/cm2となる。</t>
  </si>
  <si>
    <t>・追加スプリングで油圧upは可能だが、新たなスプリング(一本)を適用した方が確実かつ安全と思われる。</t>
  </si>
  <si>
    <t>新規スプリング検討；ノーマルバネ&amp;規格バネの諸元と，各々の計算油圧</t>
  </si>
  <si>
    <t>ノーマル</t>
  </si>
  <si>
    <t>Birkin用ノーマルオイルポンプ</t>
  </si>
  <si>
    <t>コイル中心径(mm)</t>
  </si>
  <si>
    <t xml:space="preserve">バネ荷重F(kgf) </t>
  </si>
  <si>
    <t>座巻(各）</t>
  </si>
  <si>
    <t>研磨</t>
  </si>
  <si>
    <t>自由高さ(mm)</t>
  </si>
  <si>
    <t>ばね定数(N/mm)</t>
  </si>
  <si>
    <t>アキュレイト C-277(アキュレイト販売）</t>
  </si>
  <si>
    <t>SUS304WPB</t>
  </si>
  <si>
    <t>Birkin用ノーマルオイルポンプのプレッシャレギュレータ ：リリーフバネを変更した時の推定油圧</t>
  </si>
  <si>
    <t>NG：外径=15&gt;14</t>
  </si>
  <si>
    <t>有効巻数(推定)</t>
  </si>
  <si>
    <t>8？</t>
  </si>
  <si>
    <t>座巻(各）(推定)</t>
  </si>
  <si>
    <t>1？</t>
  </si>
  <si>
    <t>有</t>
  </si>
  <si>
    <t>アキュレイト C-253(アキュレイト販売）</t>
  </si>
  <si>
    <t>NG：開弁油圧2.4kgf/cm2 NG(ノーマル同等油圧）</t>
  </si>
  <si>
    <t>9.5？</t>
  </si>
  <si>
    <t>ｻﾐﾆ No.5359(沢根スプリング）</t>
  </si>
  <si>
    <t>SWP-A</t>
  </si>
  <si>
    <t>7？</t>
  </si>
  <si>
    <t>狙い油圧をほぼ達成，応力も問題なさそう</t>
  </si>
  <si>
    <t>但し応力計算(疲労検討）は別途必要</t>
  </si>
  <si>
    <t>NG：応力過大、ヘタリ懸念</t>
  </si>
  <si>
    <t>規格バネ価格</t>
  </si>
  <si>
    <t>サミニ株式会社</t>
  </si>
  <si>
    <t>静岡県浜松市小沢渡町1062</t>
  </si>
  <si>
    <t>TEL:053-445-1122  FAX:053-445-1133</t>
  </si>
  <si>
    <t>送料</t>
  </si>
  <si>
    <t>http://www.calsmall.ne.jp/sawaneCat/tocf_sawane.htm</t>
  </si>
  <si>
    <t>振込手数料</t>
  </si>
  <si>
    <t>No.5359（価格code13)</t>
  </si>
  <si>
    <t>小計</t>
  </si>
  <si>
    <t>バネ個数</t>
  </si>
  <si>
    <t>バネ単価</t>
  </si>
  <si>
    <t>小計（単価×個数）</t>
  </si>
  <si>
    <t>合計(小計+送料,手数料,税）</t>
  </si>
  <si>
    <t>価格／本</t>
  </si>
  <si>
    <t>ｻﾐﾆNo.5359ﾊﾞﾈの荷重実測値と、適用時の計算油圧</t>
  </si>
  <si>
    <t>ｻﾐﾆNo.5359諸元</t>
  </si>
  <si>
    <t xml:space="preserve">バネ荷重F(gf) </t>
  </si>
  <si>
    <t>備考</t>
  </si>
  <si>
    <t>自由長：30</t>
  </si>
  <si>
    <t>荷重実測値</t>
  </si>
  <si>
    <t>全開</t>
  </si>
  <si>
    <t>目標開弁時油圧をほぼ達成見込み</t>
  </si>
  <si>
    <t>1kgf/cm2=2.54×2.54/453.592×1000=14.2234psi</t>
  </si>
  <si>
    <t>・バネ試験機のﾌﾙｽｹｰﾙが5kgfなので、開弁開始時と全開時の荷重は外挿値</t>
  </si>
  <si>
    <t>・カタログ仕様に比べ，製品のバネ定数が若干高いため，バネ荷重(=設定油圧）も若干高くなるが問題ないレベル (詳細以下）</t>
  </si>
  <si>
    <t xml:space="preserve"> バネ荷重実測値(8094gf)がバネ仕様（7640gf)より高い為、開弁油圧はカタログデータからの計算値(4.96kgf/cm2)より高く(5.26kgf/cm2)なる。</t>
  </si>
  <si>
    <t>懸念点</t>
  </si>
  <si>
    <t>部位</t>
  </si>
  <si>
    <t>内容</t>
  </si>
  <si>
    <t>対策</t>
  </si>
  <si>
    <t>スプリングをポンプボディに固定するリテーナ</t>
  </si>
  <si>
    <t>固定方法が軽圧入となっているが、再組付がうまく出来るか？(強度、精度）</t>
  </si>
  <si>
    <t>再組付けの際、１ｍｍくらい押込み気味になった→油圧が0.5くらい高め? → OK</t>
  </si>
  <si>
    <t>購入したスプリングの荷重</t>
  </si>
  <si>
    <t>スプリング荷重実測値が、カタログ仕様より高め</t>
  </si>
  <si>
    <t>計算荷重が5.26kgf/cm2になる(予定では4.96kgf/cm2） → 問題ないレベル</t>
  </si>
  <si>
    <t>スプリングの耐久疲労</t>
  </si>
  <si>
    <t>疲労によるバネへたり→油圧低下</t>
  </si>
  <si>
    <t>計算上は疲労強度OK：組付け後見守り</t>
  </si>
  <si>
    <t>ポンプのフィルタバイパスバルブ</t>
  </si>
  <si>
    <t>油圧upとは関係ないが、通常時バイパスしていないか？</t>
  </si>
  <si>
    <t>フィルタにリリーフバルブが有る為、ポンプ側のバルブは不用．次回分解時にﾌﾞﾗｲﾝﾄﾞする．</t>
  </si>
  <si>
    <t>結果</t>
  </si>
  <si>
    <t>項目</t>
  </si>
  <si>
    <t>状況</t>
  </si>
  <si>
    <t>判定</t>
  </si>
  <si>
    <t>アイドル油圧</t>
  </si>
  <si>
    <t>温間2.4kgf/cm2くらい (日産純正油10W-30)</t>
  </si>
  <si>
    <t>OK</t>
  </si>
  <si>
    <t>最高油圧</t>
  </si>
  <si>
    <t>温間5.4kgf/cm2くらい (日産純正油10W-30)</t>
  </si>
  <si>
    <t>OK：上記の１と２の影響と考えられる、機能上問題なし</t>
  </si>
  <si>
    <t>回転数ー油圧の特性</t>
  </si>
  <si>
    <t>未測定</t>
  </si>
  <si>
    <t>耐久疲労</t>
  </si>
  <si>
    <t>'01,03,10 組込み
'01,04,10 rallykids伊那にてフリー走行(4hr)</t>
  </si>
  <si>
    <t xml:space="preserve">
最高油圧OK、ID油圧は高油温時で2.0～2.4kgf/cm2(日産純正油10W-30)</t>
  </si>
  <si>
    <t>'01,05,20 ﾊﾞﾙﾎﾞﾘﾝ20W-50</t>
  </si>
  <si>
    <t>'01,10,22 rallykeds伊那にてフリー走行(3hr)</t>
  </si>
  <si>
    <t>油圧に変化無し(ﾊﾞﾙﾎﾞﾘﾝ20W-50)</t>
  </si>
  <si>
    <t>1inch=</t>
  </si>
  <si>
    <t>'02,11/E↑</t>
    <phoneticPr fontId="4"/>
  </si>
  <si>
    <t>・     〃     応力 ：ねじり応力の疲れ強さ線図(**と以下数値より，10^７回以上の作動寿命を持つと予測される．</t>
    <phoneticPr fontId="4"/>
  </si>
  <si>
    <t>・ﾘﾘｰﾌ孔開弁時油圧 ：ﾘﾘｰﾌ開始時油圧が4.9(kgf/cm2)となり，目標油圧(4～6kgf/cm2)を達成できる．</t>
    <phoneticPr fontId="4"/>
  </si>
  <si>
    <t xml:space="preserve">   FORD KENTｴﾝｼﾞﾝの油圧を，ﾉｰﾏﾙの2.4(kgf/cm2)から4～6(kgf/cm2)に，簡便に変更する手段を検討する．</t>
    <phoneticPr fontId="4"/>
  </si>
  <si>
    <t xml:space="preserve"> 記載内容が元で不利益や不具合が生じた場合でも，当方では一切の責任を負いませんので，予めご了承ください．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</si>
</sst>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"/>
    <numFmt numFmtId="192" formatCode="0.0000000000000"/>
  </numFmts>
  <fonts count="19" x14ac:knownFonts="1">
    <font>
      <sz val="11"/>
      <name val="ＭＳ Ｐゴシック"/>
      <charset val="128"/>
    </font>
    <font>
      <b/>
      <sz val="11"/>
      <name val="ＭＳ Ｐゴシック"/>
      <charset val="128"/>
    </font>
    <font>
      <sz val="11"/>
      <name val="ＭＳ Ｐゴシック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charset val="128"/>
    </font>
    <font>
      <sz val="11"/>
      <name val="Century"/>
      <family val="1"/>
    </font>
    <font>
      <b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178" fontId="0" fillId="0" borderId="1" xfId="0" applyNumberFormat="1" applyBorder="1"/>
    <xf numFmtId="178" fontId="0" fillId="2" borderId="1" xfId="0" applyNumberFormat="1" applyFill="1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178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left"/>
    </xf>
    <xf numFmtId="178" fontId="0" fillId="0" borderId="1" xfId="0" applyNumberFormat="1" applyFill="1" applyBorder="1"/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0" borderId="1" xfId="0" applyNumberFormat="1" applyBorder="1"/>
    <xf numFmtId="2" fontId="0" fillId="0" borderId="0" xfId="0" applyNumberFormat="1" applyBorder="1"/>
    <xf numFmtId="178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/>
    <xf numFmtId="2" fontId="0" fillId="0" borderId="0" xfId="0" applyNumberFormat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/>
    <xf numFmtId="178" fontId="0" fillId="0" borderId="3" xfId="0" applyNumberFormat="1" applyFill="1" applyBorder="1"/>
    <xf numFmtId="178" fontId="0" fillId="0" borderId="4" xfId="0" applyNumberFormat="1" applyFill="1" applyBorder="1"/>
    <xf numFmtId="0" fontId="0" fillId="0" borderId="5" xfId="0" applyBorder="1" applyAlignment="1">
      <alignment horizontal="right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0" xfId="0" applyFont="1"/>
    <xf numFmtId="0" fontId="0" fillId="0" borderId="0" xfId="0" applyFill="1"/>
    <xf numFmtId="0" fontId="0" fillId="5" borderId="0" xfId="0" applyFill="1"/>
    <xf numFmtId="0" fontId="0" fillId="5" borderId="0" xfId="0" applyFill="1" applyBorder="1"/>
    <xf numFmtId="178" fontId="0" fillId="5" borderId="3" xfId="0" applyNumberFormat="1" applyFill="1" applyBorder="1"/>
    <xf numFmtId="0" fontId="0" fillId="5" borderId="8" xfId="0" applyFill="1" applyBorder="1" applyAlignment="1">
      <alignment horizontal="right"/>
    </xf>
    <xf numFmtId="178" fontId="0" fillId="5" borderId="4" xfId="0" applyNumberFormat="1" applyFill="1" applyBorder="1"/>
    <xf numFmtId="0" fontId="0" fillId="5" borderId="5" xfId="0" applyFill="1" applyBorder="1" applyAlignment="1">
      <alignment horizontal="right"/>
    </xf>
    <xf numFmtId="0" fontId="0" fillId="5" borderId="4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178" fontId="0" fillId="5" borderId="1" xfId="0" applyNumberFormat="1" applyFill="1" applyBorder="1"/>
    <xf numFmtId="0" fontId="0" fillId="5" borderId="1" xfId="0" applyFill="1" applyBorder="1"/>
    <xf numFmtId="2" fontId="0" fillId="5" borderId="1" xfId="0" applyNumberFormat="1" applyFill="1" applyBorder="1"/>
    <xf numFmtId="0" fontId="0" fillId="5" borderId="6" xfId="0" applyFill="1" applyBorder="1"/>
    <xf numFmtId="0" fontId="0" fillId="5" borderId="7" xfId="0" applyFill="1" applyBorder="1" applyAlignment="1">
      <alignment horizontal="right"/>
    </xf>
    <xf numFmtId="0" fontId="0" fillId="6" borderId="0" xfId="0" applyFill="1"/>
    <xf numFmtId="0" fontId="0" fillId="6" borderId="0" xfId="0" applyFill="1" applyBorder="1"/>
    <xf numFmtId="0" fontId="0" fillId="6" borderId="0" xfId="0" applyFill="1" applyBorder="1" applyAlignment="1">
      <alignment horizontal="right"/>
    </xf>
    <xf numFmtId="0" fontId="0" fillId="6" borderId="0" xfId="0" applyFill="1" applyBorder="1" applyAlignment="1">
      <alignment horizontal="left"/>
    </xf>
    <xf numFmtId="178" fontId="0" fillId="6" borderId="3" xfId="0" applyNumberFormat="1" applyFill="1" applyBorder="1"/>
    <xf numFmtId="0" fontId="0" fillId="6" borderId="8" xfId="0" applyFill="1" applyBorder="1" applyAlignment="1">
      <alignment horizontal="right"/>
    </xf>
    <xf numFmtId="178" fontId="0" fillId="6" borderId="4" xfId="0" applyNumberFormat="1" applyFill="1" applyBorder="1"/>
    <xf numFmtId="0" fontId="0" fillId="6" borderId="5" xfId="0" applyFill="1" applyBorder="1" applyAlignment="1">
      <alignment horizontal="right"/>
    </xf>
    <xf numFmtId="0" fontId="0" fillId="6" borderId="4" xfId="0" applyFill="1" applyBorder="1"/>
    <xf numFmtId="0" fontId="3" fillId="6" borderId="0" xfId="0" applyFont="1" applyFill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right"/>
    </xf>
    <xf numFmtId="178" fontId="0" fillId="6" borderId="1" xfId="0" applyNumberFormat="1" applyFill="1" applyBorder="1"/>
    <xf numFmtId="2" fontId="0" fillId="6" borderId="1" xfId="0" applyNumberFormat="1" applyFill="1" applyBorder="1"/>
    <xf numFmtId="0" fontId="0" fillId="6" borderId="1" xfId="0" applyFill="1" applyBorder="1"/>
    <xf numFmtId="0" fontId="0" fillId="6" borderId="6" xfId="0" applyFill="1" applyBorder="1"/>
    <xf numFmtId="0" fontId="0" fillId="6" borderId="7" xfId="0" applyFill="1" applyBorder="1" applyAlignment="1">
      <alignment horizontal="right"/>
    </xf>
    <xf numFmtId="0" fontId="0" fillId="4" borderId="1" xfId="0" applyFill="1" applyBorder="1"/>
    <xf numFmtId="178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1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13" xfId="0" applyBorder="1"/>
    <xf numFmtId="178" fontId="0" fillId="6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6" borderId="1" xfId="0" applyNumberFormat="1" applyFill="1" applyBorder="1"/>
    <xf numFmtId="1" fontId="0" fillId="5" borderId="1" xfId="0" applyNumberFormat="1" applyFill="1" applyBorder="1"/>
    <xf numFmtId="1" fontId="0" fillId="4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1" fontId="0" fillId="2" borderId="1" xfId="0" applyNumberFormat="1" applyFill="1" applyBorder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1" fontId="0" fillId="2" borderId="2" xfId="0" applyNumberFormat="1" applyFill="1" applyBorder="1"/>
    <xf numFmtId="178" fontId="0" fillId="2" borderId="13" xfId="0" applyNumberFormat="1" applyFill="1" applyBorder="1"/>
    <xf numFmtId="2" fontId="0" fillId="0" borderId="14" xfId="0" applyNumberFormat="1" applyFill="1" applyBorder="1"/>
    <xf numFmtId="2" fontId="0" fillId="2" borderId="15" xfId="0" applyNumberFormat="1" applyFill="1" applyBorder="1"/>
    <xf numFmtId="178" fontId="0" fillId="5" borderId="2" xfId="0" applyNumberFormat="1" applyFill="1" applyBorder="1"/>
    <xf numFmtId="178" fontId="0" fillId="5" borderId="13" xfId="0" applyNumberFormat="1" applyFill="1" applyBorder="1"/>
    <xf numFmtId="2" fontId="0" fillId="5" borderId="14" xfId="0" applyNumberFormat="1" applyFill="1" applyBorder="1"/>
    <xf numFmtId="2" fontId="0" fillId="5" borderId="15" xfId="0" applyNumberFormat="1" applyFill="1" applyBorder="1"/>
    <xf numFmtId="0" fontId="2" fillId="6" borderId="1" xfId="0" applyFont="1" applyFill="1" applyBorder="1" applyAlignment="1">
      <alignment horizontal="center"/>
    </xf>
    <xf numFmtId="178" fontId="2" fillId="6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/>
    <xf numFmtId="0" fontId="7" fillId="0" borderId="0" xfId="0" applyFont="1" applyFill="1" applyBorder="1"/>
    <xf numFmtId="0" fontId="0" fillId="6" borderId="2" xfId="0" applyFill="1" applyBorder="1"/>
    <xf numFmtId="1" fontId="0" fillId="6" borderId="2" xfId="0" applyNumberFormat="1" applyFill="1" applyBorder="1"/>
    <xf numFmtId="0" fontId="0" fillId="5" borderId="13" xfId="0" applyFill="1" applyBorder="1"/>
    <xf numFmtId="1" fontId="0" fillId="5" borderId="13" xfId="0" applyNumberFormat="1" applyFill="1" applyBorder="1"/>
    <xf numFmtId="0" fontId="0" fillId="8" borderId="1" xfId="0" applyFill="1" applyBorder="1"/>
    <xf numFmtId="1" fontId="0" fillId="8" borderId="1" xfId="0" applyNumberFormat="1" applyFill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0" fillId="0" borderId="0" xfId="0" applyAlignment="1">
      <alignment horizontal="right"/>
    </xf>
    <xf numFmtId="2" fontId="0" fillId="0" borderId="0" xfId="0" applyNumberFormat="1"/>
    <xf numFmtId="2" fontId="8" fillId="0" borderId="0" xfId="0" applyNumberFormat="1" applyFont="1"/>
    <xf numFmtId="0" fontId="0" fillId="0" borderId="18" xfId="0" applyBorder="1"/>
    <xf numFmtId="56" fontId="0" fillId="0" borderId="1" xfId="0" quotePrefix="1" applyNumberFormat="1" applyBorder="1" applyAlignment="1">
      <alignment wrapText="1"/>
    </xf>
    <xf numFmtId="0" fontId="0" fillId="0" borderId="13" xfId="0" applyBorder="1" applyAlignment="1">
      <alignment wrapText="1"/>
    </xf>
    <xf numFmtId="0" fontId="9" fillId="0" borderId="0" xfId="0" applyFont="1"/>
    <xf numFmtId="0" fontId="10" fillId="0" borderId="0" xfId="0" applyFont="1"/>
    <xf numFmtId="0" fontId="0" fillId="0" borderId="17" xfId="0" quotePrefix="1" applyBorder="1"/>
    <xf numFmtId="0" fontId="0" fillId="0" borderId="0" xfId="0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0" borderId="0" xfId="0" applyFont="1" applyFill="1" applyBorder="1"/>
    <xf numFmtId="192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0" fontId="2" fillId="0" borderId="0" xfId="0" applyFont="1"/>
    <xf numFmtId="0" fontId="0" fillId="9" borderId="5" xfId="0" applyFill="1" applyBorder="1" applyAlignment="1">
      <alignment horizontal="right"/>
    </xf>
    <xf numFmtId="2" fontId="0" fillId="9" borderId="1" xfId="0" applyNumberFormat="1" applyFill="1" applyBorder="1"/>
    <xf numFmtId="0" fontId="0" fillId="0" borderId="0" xfId="0" applyAlignment="1">
      <alignment horizontal="left"/>
    </xf>
    <xf numFmtId="0" fontId="2" fillId="0" borderId="0" xfId="0" applyFont="1" applyFill="1" applyBorder="1"/>
    <xf numFmtId="2" fontId="1" fillId="9" borderId="19" xfId="0" applyNumberFormat="1" applyFont="1" applyFill="1" applyBorder="1"/>
    <xf numFmtId="0" fontId="11" fillId="0" borderId="0" xfId="0" applyFont="1"/>
    <xf numFmtId="0" fontId="12" fillId="0" borderId="0" xfId="0" applyFont="1"/>
    <xf numFmtId="178" fontId="0" fillId="9" borderId="1" xfId="0" applyNumberFormat="1" applyFill="1" applyBorder="1"/>
    <xf numFmtId="0" fontId="3" fillId="0" borderId="0" xfId="0" applyFont="1" applyFill="1"/>
    <xf numFmtId="0" fontId="1" fillId="0" borderId="0" xfId="0" quotePrefix="1" applyFont="1"/>
    <xf numFmtId="2" fontId="0" fillId="0" borderId="0" xfId="0" applyNumberFormat="1" applyBorder="1" applyAlignment="1">
      <alignment horizontal="right"/>
    </xf>
    <xf numFmtId="2" fontId="1" fillId="9" borderId="1" xfId="0" applyNumberFormat="1" applyFont="1" applyFill="1" applyBorder="1"/>
    <xf numFmtId="2" fontId="1" fillId="2" borderId="1" xfId="0" applyNumberFormat="1" applyFont="1" applyFill="1" applyBorder="1"/>
    <xf numFmtId="2" fontId="1" fillId="0" borderId="1" xfId="0" applyNumberFormat="1" applyFont="1" applyFill="1" applyBorder="1"/>
    <xf numFmtId="178" fontId="1" fillId="2" borderId="1" xfId="0" applyNumberFormat="1" applyFont="1" applyFill="1" applyBorder="1"/>
    <xf numFmtId="0" fontId="13" fillId="0" borderId="0" xfId="0" applyFont="1"/>
    <xf numFmtId="2" fontId="13" fillId="10" borderId="19" xfId="0" applyNumberFormat="1" applyFont="1" applyFill="1" applyBorder="1"/>
    <xf numFmtId="0" fontId="0" fillId="10" borderId="20" xfId="0" applyFill="1" applyBorder="1"/>
    <xf numFmtId="1" fontId="0" fillId="10" borderId="21" xfId="0" applyNumberFormat="1" applyFill="1" applyBorder="1"/>
    <xf numFmtId="1" fontId="0" fillId="10" borderId="22" xfId="0" applyNumberFormat="1" applyFill="1" applyBorder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8" fontId="18" fillId="0" borderId="0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バネたわみ－バネ荷重</a:t>
            </a:r>
            <a:r>
              <a:rPr lang="en-US" altLang="ja-JP"/>
              <a:t>(</a:t>
            </a:r>
            <a:r>
              <a:rPr lang="ja-JP" altLang="en-US"/>
              <a:t>実測値）</a:t>
            </a:r>
          </a:p>
        </c:rich>
      </c:tx>
      <c:layout>
        <c:manualLayout>
          <c:xMode val="edge"/>
          <c:yMode val="edge"/>
          <c:x val="0.2544385436949072"/>
          <c:y val="4.4827812640486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23918115884284"/>
          <c:y val="0.25862199600280844"/>
          <c:w val="0.74753649659201415"/>
          <c:h val="0.44482983312483049"/>
        </c:manualLayout>
      </c:layout>
      <c:scatterChart>
        <c:scatterStyle val="lineMarker"/>
        <c:varyColors val="0"/>
        <c:ser>
          <c:idx val="0"/>
          <c:order val="0"/>
          <c:tx>
            <c:strRef>
              <c:f>追加ﾊﾞﾈ検討!$E$12</c:f>
              <c:strCache>
                <c:ptCount val="1"/>
                <c:pt idx="0">
                  <c:v>バネ荷重F(gf) [実測値］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Mode val="edge"/>
                  <c:yMode val="edge"/>
                  <c:x val="0.62919298789670852"/>
                  <c:y val="0.15517319760168505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F = 217.7x - 25.003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追加ﾊﾞﾈ検討!$D$13:$D$20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12.9</c:v>
                </c:pt>
                <c:pt idx="4">
                  <c:v>15</c:v>
                </c:pt>
                <c:pt idx="5">
                  <c:v>17.399999999999999</c:v>
                </c:pt>
                <c:pt idx="6">
                  <c:v>20</c:v>
                </c:pt>
                <c:pt idx="7">
                  <c:v>21.4</c:v>
                </c:pt>
              </c:numCache>
            </c:numRef>
          </c:xVal>
          <c:yVal>
            <c:numRef>
              <c:f>追加ﾊﾞﾈ検討!$E$13:$E$20</c:f>
              <c:numCache>
                <c:formatCode>General</c:formatCode>
                <c:ptCount val="8"/>
                <c:pt idx="0">
                  <c:v>0</c:v>
                </c:pt>
                <c:pt idx="1">
                  <c:v>1057</c:v>
                </c:pt>
                <c:pt idx="2">
                  <c:v>2136</c:v>
                </c:pt>
                <c:pt idx="3">
                  <c:v>2767</c:v>
                </c:pt>
                <c:pt idx="4">
                  <c:v>3226</c:v>
                </c:pt>
                <c:pt idx="5">
                  <c:v>3754</c:v>
                </c:pt>
                <c:pt idx="6">
                  <c:v>4344</c:v>
                </c:pt>
                <c:pt idx="7">
                  <c:v>4656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8C-4C25-B9DD-9F3D85B0B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96592"/>
        <c:axId val="1"/>
      </c:scatterChart>
      <c:valAx>
        <c:axId val="491996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バネたわみ</a:t>
                </a:r>
                <a:r>
                  <a:rPr lang="en-US" altLang="ja-JP"/>
                  <a:t>(mm)</a:t>
                </a:r>
              </a:p>
            </c:rich>
          </c:tx>
          <c:layout>
            <c:manualLayout>
              <c:xMode val="edge"/>
              <c:yMode val="edge"/>
              <c:x val="0.44181576579580778"/>
              <c:y val="0.8413835603291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バネ荷重</a:t>
                </a:r>
                <a:r>
                  <a:rPr lang="en-US" altLang="ja-JP"/>
                  <a:t>(gf)</a:t>
                </a:r>
              </a:p>
            </c:rich>
          </c:tx>
          <c:layout>
            <c:manualLayout>
              <c:xMode val="edge"/>
              <c:yMode val="edge"/>
              <c:x val="3.5503052608591705E-2"/>
              <c:y val="0.31034639520337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19965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バネたわみ－油圧</a:t>
            </a:r>
            <a:r>
              <a:rPr lang="en-US" altLang="ja-JP"/>
              <a:t>(</a:t>
            </a:r>
            <a:r>
              <a:rPr lang="ja-JP" altLang="en-US"/>
              <a:t>バネ荷重実測値より計算）</a:t>
            </a:r>
          </a:p>
        </c:rich>
      </c:tx>
      <c:layout>
        <c:manualLayout>
          <c:xMode val="edge"/>
          <c:yMode val="edge"/>
          <c:x val="0.16824235420409744"/>
          <c:y val="4.4982888964543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0617418758444"/>
          <c:y val="0.26989733378726222"/>
          <c:w val="0.79962377335205848"/>
          <c:h val="0.43252777850522789"/>
        </c:manualLayout>
      </c:layout>
      <c:scatterChart>
        <c:scatterStyle val="lineMarker"/>
        <c:varyColors val="0"/>
        <c:ser>
          <c:idx val="0"/>
          <c:order val="0"/>
          <c:tx>
            <c:strRef>
              <c:f>追加ﾊﾞﾈ検討!$G$12</c:f>
              <c:strCache>
                <c:ptCount val="1"/>
                <c:pt idx="0">
                  <c:v>油圧P(kgf/cm2)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Mode val="edge"/>
                  <c:yMode val="edge"/>
                  <c:x val="0.67296941681638967"/>
                  <c:y val="0.21107355591055124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P = 0.1414x - 0.0162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追加ﾊﾞﾈ検討!$D$13:$D$20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12.9</c:v>
                </c:pt>
                <c:pt idx="4">
                  <c:v>15</c:v>
                </c:pt>
                <c:pt idx="5">
                  <c:v>17.399999999999999</c:v>
                </c:pt>
                <c:pt idx="6">
                  <c:v>20</c:v>
                </c:pt>
                <c:pt idx="7">
                  <c:v>21.4</c:v>
                </c:pt>
              </c:numCache>
            </c:numRef>
          </c:xVal>
          <c:yVal>
            <c:numRef>
              <c:f>追加ﾊﾞﾈ検討!$G$13:$G$20</c:f>
              <c:numCache>
                <c:formatCode>0.00</c:formatCode>
                <c:ptCount val="8"/>
                <c:pt idx="0" formatCode="General">
                  <c:v>0</c:v>
                </c:pt>
                <c:pt idx="1">
                  <c:v>0.68664004019072411</c:v>
                </c:pt>
                <c:pt idx="2">
                  <c:v>1.3875715476323429</c:v>
                </c:pt>
                <c:pt idx="3">
                  <c:v>1.7974768128739202</c:v>
                </c:pt>
                <c:pt idx="4">
                  <c:v>2.0956487886994095</c:v>
                </c:pt>
                <c:pt idx="5">
                  <c:v>2.438644002720888</c:v>
                </c:pt>
                <c:pt idx="6">
                  <c:v>2.8219151699039786</c:v>
                </c:pt>
                <c:pt idx="7">
                  <c:v>3.0245941600075792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57-4671-84F8-258F687AC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98352"/>
        <c:axId val="1"/>
      </c:scatterChart>
      <c:valAx>
        <c:axId val="491998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バねたわみ</a:t>
                </a:r>
                <a:r>
                  <a:rPr lang="en-US" altLang="ja-JP"/>
                  <a:t>(mm)</a:t>
                </a:r>
              </a:p>
            </c:rich>
          </c:tx>
          <c:layout>
            <c:manualLayout>
              <c:xMode val="edge"/>
              <c:yMode val="edge"/>
              <c:x val="0.41209924962351951"/>
              <c:y val="0.840834001414162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油圧</a:t>
                </a:r>
                <a:r>
                  <a:rPr lang="en-US" altLang="ja-JP"/>
                  <a:t>(kgf/cm2)</a:t>
                </a:r>
              </a:p>
            </c:rich>
          </c:tx>
          <c:layout>
            <c:manualLayout>
              <c:xMode val="edge"/>
              <c:yMode val="edge"/>
              <c:x val="3.2136180016512993E-2"/>
              <c:y val="0.29065866715551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19983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バネたわみ－バネ荷重</a:t>
            </a:r>
            <a:r>
              <a:rPr lang="en-US" altLang="ja-JP"/>
              <a:t>(</a:t>
            </a:r>
            <a:r>
              <a:rPr lang="ja-JP" altLang="en-US"/>
              <a:t>実測値</a:t>
            </a:r>
            <a:r>
              <a:rPr lang="en-US" altLang="ja-JP"/>
              <a:t>)</a:t>
            </a:r>
          </a:p>
        </c:rich>
      </c:tx>
      <c:layout>
        <c:manualLayout>
          <c:xMode val="edge"/>
          <c:yMode val="edge"/>
          <c:x val="0.28793145868134828"/>
          <c:y val="3.6855103178092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93131135489194"/>
          <c:y val="0.19901755716170119"/>
          <c:w val="0.76551836918873439"/>
          <c:h val="0.58968165084948487"/>
        </c:manualLayout>
      </c:layout>
      <c:scatterChart>
        <c:scatterStyle val="lineMarker"/>
        <c:varyColors val="0"/>
        <c:ser>
          <c:idx val="0"/>
          <c:order val="0"/>
          <c:tx>
            <c:strRef>
              <c:f>ｻﾐﾆNO5359ﾊﾞﾈ荷重測定結果!$C$7</c:f>
              <c:strCache>
                <c:ptCount val="1"/>
                <c:pt idx="0">
                  <c:v>バネ荷重F(gf) 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Mode val="edge"/>
                  <c:yMode val="edge"/>
                  <c:x val="0.66379408139113216"/>
                  <c:y val="0.1228503439269760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ｻﾐﾆNO5359ﾊﾞﾈ荷重測定結果!$B$8:$B$17</c:f>
              <c:numCache>
                <c:formatCode>General</c:formatCode>
                <c:ptCount val="10"/>
                <c:pt idx="0">
                  <c:v>0</c:v>
                </c:pt>
                <c:pt idx="1">
                  <c:v>1.7800000000000011</c:v>
                </c:pt>
                <c:pt idx="2">
                  <c:v>2</c:v>
                </c:pt>
                <c:pt idx="3">
                  <c:v>2.8999999999999986</c:v>
                </c:pt>
                <c:pt idx="4">
                  <c:v>2.7199999999999989</c:v>
                </c:pt>
                <c:pt idx="5">
                  <c:v>3.6499999999999986</c:v>
                </c:pt>
                <c:pt idx="6">
                  <c:v>4.1099999999999994</c:v>
                </c:pt>
                <c:pt idx="7">
                  <c:v>4.5599999999999987</c:v>
                </c:pt>
                <c:pt idx="8">
                  <c:v>7.3999999999999986</c:v>
                </c:pt>
                <c:pt idx="9">
                  <c:v>11.399999999999999</c:v>
                </c:pt>
              </c:numCache>
            </c:numRef>
          </c:xVal>
          <c:yVal>
            <c:numRef>
              <c:f>ｻﾐﾆNO5359ﾊﾞﾈ荷重測定結果!$C$8:$C$17</c:f>
              <c:numCache>
                <c:formatCode>General</c:formatCode>
                <c:ptCount val="10"/>
                <c:pt idx="0">
                  <c:v>0</c:v>
                </c:pt>
                <c:pt idx="1">
                  <c:v>2000</c:v>
                </c:pt>
                <c:pt idx="2">
                  <c:v>2231</c:v>
                </c:pt>
                <c:pt idx="3" formatCode="0">
                  <c:v>3190.3579999999988</c:v>
                </c:pt>
                <c:pt idx="4">
                  <c:v>3000</c:v>
                </c:pt>
                <c:pt idx="5">
                  <c:v>4000</c:v>
                </c:pt>
                <c:pt idx="6">
                  <c:v>4500</c:v>
                </c:pt>
                <c:pt idx="7">
                  <c:v>4989</c:v>
                </c:pt>
                <c:pt idx="8" formatCode="0">
                  <c:v>8094.0079999999989</c:v>
                </c:pt>
                <c:pt idx="9" formatCode="0">
                  <c:v>12452.807999999997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61-401C-A23C-31DBD1A4A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571632"/>
        <c:axId val="1"/>
      </c:scatterChart>
      <c:valAx>
        <c:axId val="422571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バネたわみ</a:t>
                </a:r>
                <a:r>
                  <a:rPr lang="en-US" altLang="ja-JP"/>
                  <a:t>(mm)</a:t>
                </a:r>
              </a:p>
            </c:rich>
          </c:tx>
          <c:layout>
            <c:manualLayout>
              <c:xMode val="edge"/>
              <c:yMode val="edge"/>
              <c:x val="0.45862136532478215"/>
              <c:y val="0.886979483152766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バネ荷重</a:t>
                </a:r>
                <a:r>
                  <a:rPr lang="en-US" altLang="ja-JP"/>
                  <a:t>(gf)</a:t>
                </a:r>
              </a:p>
            </c:rich>
          </c:tx>
          <c:layout>
            <c:manualLayout>
              <c:xMode val="edge"/>
              <c:yMode val="edge"/>
              <c:x val="3.1034528480624365E-2"/>
              <c:y val="0.373465045538007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25716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バネたわみ－油圧</a:t>
            </a:r>
            <a:r>
              <a:rPr lang="en-US" altLang="ja-JP"/>
              <a:t>(</a:t>
            </a:r>
            <a:r>
              <a:rPr lang="ja-JP" altLang="en-US"/>
              <a:t>バネ荷重より計算）</a:t>
            </a:r>
          </a:p>
        </c:rich>
      </c:tx>
      <c:layout>
        <c:manualLayout>
          <c:xMode val="edge"/>
          <c:yMode val="edge"/>
          <c:x val="0.23529483442993862"/>
          <c:y val="3.7037059363582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51561307988473"/>
          <c:y val="0.22222235618149364"/>
          <c:w val="0.78788118801540052"/>
          <c:h val="0.56296330232645053"/>
        </c:manualLayout>
      </c:layout>
      <c:scatterChart>
        <c:scatterStyle val="lineMarker"/>
        <c:varyColors val="0"/>
        <c:ser>
          <c:idx val="0"/>
          <c:order val="0"/>
          <c:tx>
            <c:strRef>
              <c:f>ｻﾐﾆNO5359ﾊﾞﾈ荷重測定結果!$E$7</c:f>
              <c:strCache>
                <c:ptCount val="1"/>
                <c:pt idx="0">
                  <c:v>油圧P(kgf/cm2)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Mode val="edge"/>
                  <c:yMode val="edge"/>
                  <c:x val="0.63458303831104645"/>
                  <c:y val="0.1432099628725181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ｻﾐﾆNO5359ﾊﾞﾈ荷重測定結果!$B$8:$B$17</c:f>
              <c:numCache>
                <c:formatCode>General</c:formatCode>
                <c:ptCount val="10"/>
                <c:pt idx="0">
                  <c:v>0</c:v>
                </c:pt>
                <c:pt idx="1">
                  <c:v>1.7800000000000011</c:v>
                </c:pt>
                <c:pt idx="2">
                  <c:v>2</c:v>
                </c:pt>
                <c:pt idx="3">
                  <c:v>2.8999999999999986</c:v>
                </c:pt>
                <c:pt idx="4">
                  <c:v>2.7199999999999989</c:v>
                </c:pt>
                <c:pt idx="5">
                  <c:v>3.6499999999999986</c:v>
                </c:pt>
                <c:pt idx="6">
                  <c:v>4.1099999999999994</c:v>
                </c:pt>
                <c:pt idx="7">
                  <c:v>4.5599999999999987</c:v>
                </c:pt>
                <c:pt idx="8">
                  <c:v>7.3999999999999986</c:v>
                </c:pt>
                <c:pt idx="9">
                  <c:v>11.399999999999999</c:v>
                </c:pt>
              </c:numCache>
            </c:numRef>
          </c:xVal>
          <c:yVal>
            <c:numRef>
              <c:f>ｻﾐﾆNO5359ﾊﾞﾈ荷重測定結果!$E$8:$E$17</c:f>
              <c:numCache>
                <c:formatCode>0.00</c:formatCode>
                <c:ptCount val="10"/>
                <c:pt idx="0">
                  <c:v>0</c:v>
                </c:pt>
                <c:pt idx="1">
                  <c:v>1.2992242955359017</c:v>
                </c:pt>
                <c:pt idx="2">
                  <c:v>1.4492847016702983</c:v>
                </c:pt>
                <c:pt idx="3">
                  <c:v>2.0724953125286634</c:v>
                </c:pt>
                <c:pt idx="4">
                  <c:v>1.9488364433038525</c:v>
                </c:pt>
                <c:pt idx="5">
                  <c:v>2.5984485910718034</c:v>
                </c:pt>
                <c:pt idx="6">
                  <c:v>2.9232546649557789</c:v>
                </c:pt>
                <c:pt idx="7">
                  <c:v>3.240915005214307</c:v>
                </c:pt>
                <c:pt idx="8">
                  <c:v>5.2579659209309755</c:v>
                </c:pt>
                <c:pt idx="9">
                  <c:v>8.0894953506219185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71-45B4-A8D0-C1DD47BE7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95888"/>
        <c:axId val="1"/>
      </c:scatterChart>
      <c:valAx>
        <c:axId val="491995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バねたわみ</a:t>
                </a:r>
                <a:r>
                  <a:rPr lang="en-US" altLang="ja-JP"/>
                  <a:t>(mm)</a:t>
                </a:r>
              </a:p>
            </c:rich>
          </c:tx>
          <c:layout>
            <c:manualLayout>
              <c:xMode val="edge"/>
              <c:yMode val="edge"/>
              <c:x val="0.42959132649708487"/>
              <c:y val="0.883951150144163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油圧</a:t>
                </a:r>
                <a:r>
                  <a:rPr lang="en-US" altLang="ja-JP"/>
                  <a:t>(kgf/cm2)</a:t>
                </a:r>
              </a:p>
            </c:rich>
          </c:tx>
          <c:layout>
            <c:manualLayout>
              <c:xMode val="edge"/>
              <c:yMode val="edge"/>
              <c:x val="3.0303122615976941E-2"/>
              <c:y val="0.3654323190540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19958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14</xdr:row>
      <xdr:rowOff>68580</xdr:rowOff>
    </xdr:from>
    <xdr:to>
      <xdr:col>4</xdr:col>
      <xdr:colOff>624840</xdr:colOff>
      <xdr:row>27</xdr:row>
      <xdr:rowOff>99060</xdr:rowOff>
    </xdr:to>
    <xdr:graphicFrame macro="">
      <xdr:nvGraphicFramePr>
        <xdr:cNvPr id="1025" name="グラフ 1">
          <a:extLst>
            <a:ext uri="{FF2B5EF4-FFF2-40B4-BE49-F238E27FC236}">
              <a16:creationId xmlns:a16="http://schemas.microsoft.com/office/drawing/2014/main" id="{D6DE027B-6E1E-3259-7888-F6C47E8FD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624840</xdr:colOff>
      <xdr:row>14</xdr:row>
      <xdr:rowOff>68580</xdr:rowOff>
    </xdr:from>
    <xdr:to>
      <xdr:col>9</xdr:col>
      <xdr:colOff>365760</xdr:colOff>
      <xdr:row>27</xdr:row>
      <xdr:rowOff>91440</xdr:rowOff>
    </xdr:to>
    <xdr:graphicFrame macro="">
      <xdr:nvGraphicFramePr>
        <xdr:cNvPr id="1026" name="グラフ 2">
          <a:extLst>
            <a:ext uri="{FF2B5EF4-FFF2-40B4-BE49-F238E27FC236}">
              <a16:creationId xmlns:a16="http://schemas.microsoft.com/office/drawing/2014/main" id="{63C8F28D-E314-FA0F-0B42-5062D2CA3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49</xdr:row>
      <xdr:rowOff>106680</xdr:rowOff>
    </xdr:from>
    <xdr:to>
      <xdr:col>0</xdr:col>
      <xdr:colOff>5250180</xdr:colOff>
      <xdr:row>55</xdr:row>
      <xdr:rowOff>106680</xdr:rowOff>
    </xdr:to>
    <xdr:sp macro="" textlink="">
      <xdr:nvSpPr>
        <xdr:cNvPr id="2049" name="テキスト 1">
          <a:extLst>
            <a:ext uri="{FF2B5EF4-FFF2-40B4-BE49-F238E27FC236}">
              <a16:creationId xmlns:a16="http://schemas.microsoft.com/office/drawing/2014/main" id="{8382D606-944C-C3FE-0517-B5B6BA8956F3}"/>
            </a:ext>
          </a:extLst>
        </xdr:cNvPr>
        <xdr:cNvSpPr txBox="1">
          <a:spLocks noChangeArrowheads="1"/>
        </xdr:cNvSpPr>
      </xdr:nvSpPr>
      <xdr:spPr bwMode="auto">
        <a:xfrm>
          <a:off x="99060" y="7444740"/>
          <a:ext cx="5151120" cy="8229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30000">
              <a:solidFill>
                <a:srgbClr val="000000"/>
              </a:solidFill>
              <a:latin typeface="Century"/>
            </a:rPr>
            <a:t>(**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ねじり応力の疲れ強さ線図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       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Century"/>
              <a:ea typeface="ＭＳ 明朝"/>
            </a:rPr>
            <a:t>(***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応力許容限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                                                   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新機械工学便覧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理工学社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参照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  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ﾘﾘｰﾌ孔全開は頻度が低い為静荷重扱いとし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応力許容限τ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max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を材料の許容応力の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80%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と仮定した．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SWP-A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φ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1.8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の許容応力は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95(kgf/mm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Century"/>
              <a:ea typeface="ＭＳ 明朝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なので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応力許容限τ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max=95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0.8=76(kgf/mm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Century"/>
              <a:ea typeface="ＭＳ 明朝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)</a:t>
          </a:r>
          <a:endParaRPr lang="ja-JP" altLang="en-US" sz="8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342900</xdr:colOff>
      <xdr:row>36</xdr:row>
      <xdr:rowOff>685800</xdr:rowOff>
    </xdr:to>
    <xdr:sp macro="" textlink="">
      <xdr:nvSpPr>
        <xdr:cNvPr id="2050" name="図形 2">
          <a:extLst>
            <a:ext uri="{FF2B5EF4-FFF2-40B4-BE49-F238E27FC236}">
              <a16:creationId xmlns:a16="http://schemas.microsoft.com/office/drawing/2014/main" id="{5A48DB12-2423-4760-EDB3-A45946E8FD2F}"/>
            </a:ext>
          </a:extLst>
        </xdr:cNvPr>
        <xdr:cNvSpPr>
          <a:spLocks/>
        </xdr:cNvSpPr>
      </xdr:nvSpPr>
      <xdr:spPr bwMode="auto">
        <a:xfrm>
          <a:off x="9593580" y="4434840"/>
          <a:ext cx="960120" cy="960120"/>
        </a:xfrm>
        <a:custGeom>
          <a:avLst/>
          <a:gdLst>
            <a:gd name="T0" fmla="*/ 0 w 16384"/>
            <a:gd name="T1" fmla="*/ 0 h 16384"/>
            <a:gd name="T2" fmla="*/ 0 w 16384"/>
            <a:gd name="T3" fmla="*/ 16384 h 16384"/>
            <a:gd name="T4" fmla="*/ 16384 w 16384"/>
            <a:gd name="T5" fmla="*/ 16384 h 16384"/>
            <a:gd name="T6" fmla="*/ 16384 w 16384"/>
            <a:gd name="T7" fmla="*/ 0 h 16384"/>
            <a:gd name="T8" fmla="*/ 0 w 16384"/>
            <a:gd name="T9" fmla="*/ 0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1226820</xdr:colOff>
      <xdr:row>0</xdr:row>
      <xdr:rowOff>83820</xdr:rowOff>
    </xdr:from>
    <xdr:to>
      <xdr:col>0</xdr:col>
      <xdr:colOff>4831080</xdr:colOff>
      <xdr:row>2</xdr:row>
      <xdr:rowOff>83820</xdr:rowOff>
    </xdr:to>
    <xdr:sp macro="" textlink="">
      <xdr:nvSpPr>
        <xdr:cNvPr id="2051" name="テキスト 3">
          <a:extLst>
            <a:ext uri="{FF2B5EF4-FFF2-40B4-BE49-F238E27FC236}">
              <a16:creationId xmlns:a16="http://schemas.microsoft.com/office/drawing/2014/main" id="{89A52D9A-7CFC-E88F-9B04-334118D756DE}"/>
            </a:ext>
          </a:extLst>
        </xdr:cNvPr>
        <xdr:cNvSpPr txBox="1">
          <a:spLocks noChangeArrowheads="1"/>
        </xdr:cNvSpPr>
      </xdr:nvSpPr>
      <xdr:spPr bwMode="auto">
        <a:xfrm>
          <a:off x="1226820" y="83820"/>
          <a:ext cx="36042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ja-JP" altLang="en-US" sz="1200" b="1" i="0" u="sng" strike="noStrike" baseline="0">
              <a:solidFill>
                <a:srgbClr val="000000"/>
              </a:solidFill>
              <a:latin typeface="Century"/>
            </a:rPr>
            <a:t>FORD KENT  </a:t>
          </a:r>
          <a:r>
            <a:rPr lang="ja-JP" altLang="en-US" sz="1200" b="1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オイルポンプ油圧設定変更の検討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68580</xdr:colOff>
          <xdr:row>30</xdr:row>
          <xdr:rowOff>15240</xdr:rowOff>
        </xdr:from>
        <xdr:to>
          <xdr:col>0</xdr:col>
          <xdr:colOff>3627120</xdr:colOff>
          <xdr:row>36</xdr:row>
          <xdr:rowOff>0</xdr:rowOff>
        </xdr:to>
        <xdr:sp macro="" textlink="">
          <xdr:nvSpPr>
            <xdr:cNvPr id="2052" name="ピクチャ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447BC578-7589-4A7A-8D18-A9E34C9223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3124200</xdr:colOff>
      <xdr:row>13</xdr:row>
      <xdr:rowOff>129540</xdr:rowOff>
    </xdr:from>
    <xdr:to>
      <xdr:col>0</xdr:col>
      <xdr:colOff>6408420</xdr:colOff>
      <xdr:row>18</xdr:row>
      <xdr:rowOff>15240</xdr:rowOff>
    </xdr:to>
    <xdr:sp macro="" textlink="">
      <xdr:nvSpPr>
        <xdr:cNvPr id="2053" name="テキスト 5">
          <a:extLst>
            <a:ext uri="{FF2B5EF4-FFF2-40B4-BE49-F238E27FC236}">
              <a16:creationId xmlns:a16="http://schemas.microsoft.com/office/drawing/2014/main" id="{B4A69E17-1771-97C0-3392-DDF43339AA00}"/>
            </a:ext>
          </a:extLst>
        </xdr:cNvPr>
        <xdr:cNvSpPr txBox="1">
          <a:spLocks noChangeArrowheads="1"/>
        </xdr:cNvSpPr>
      </xdr:nvSpPr>
      <xdr:spPr bwMode="auto">
        <a:xfrm>
          <a:off x="3124200" y="1912620"/>
          <a:ext cx="3284220" cy="594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(*　サミニ株式会社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静岡県浜松市小沢渡町1062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http://www.calsmall.ne.jp/sawaneCat/tocf_sawane.htm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</xdr:colOff>
      <xdr:row>35</xdr:row>
      <xdr:rowOff>152400</xdr:rowOff>
    </xdr:from>
    <xdr:to>
      <xdr:col>3</xdr:col>
      <xdr:colOff>937260</xdr:colOff>
      <xdr:row>38</xdr:row>
      <xdr:rowOff>15240</xdr:rowOff>
    </xdr:to>
    <xdr:sp macro="" textlink="">
      <xdr:nvSpPr>
        <xdr:cNvPr id="3073" name="テキスト 1">
          <a:extLst>
            <a:ext uri="{FF2B5EF4-FFF2-40B4-BE49-F238E27FC236}">
              <a16:creationId xmlns:a16="http://schemas.microsoft.com/office/drawing/2014/main" id="{B7EBC6BB-14DE-70A5-A82F-E1249090A42F}"/>
            </a:ext>
          </a:extLst>
        </xdr:cNvPr>
        <xdr:cNvSpPr txBox="1">
          <a:spLocks noChangeArrowheads="1"/>
        </xdr:cNvSpPr>
      </xdr:nvSpPr>
      <xdr:spPr bwMode="auto">
        <a:xfrm>
          <a:off x="2491740" y="6111240"/>
          <a:ext cx="731520" cy="3657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採用</a:t>
          </a:r>
        </a:p>
      </xdr:txBody>
    </xdr:sp>
    <xdr:clientData/>
  </xdr:twoCellAnchor>
  <xdr:twoCellAnchor>
    <xdr:from>
      <xdr:col>3</xdr:col>
      <xdr:colOff>160020</xdr:colOff>
      <xdr:row>6</xdr:row>
      <xdr:rowOff>76200</xdr:rowOff>
    </xdr:from>
    <xdr:to>
      <xdr:col>3</xdr:col>
      <xdr:colOff>1066800</xdr:colOff>
      <xdr:row>8</xdr:row>
      <xdr:rowOff>114300</xdr:rowOff>
    </xdr:to>
    <xdr:sp macro="" textlink="">
      <xdr:nvSpPr>
        <xdr:cNvPr id="3074" name="テキスト 2">
          <a:extLst>
            <a:ext uri="{FF2B5EF4-FFF2-40B4-BE49-F238E27FC236}">
              <a16:creationId xmlns:a16="http://schemas.microsoft.com/office/drawing/2014/main" id="{56C70B40-4096-3746-9418-1A5392C5901A}"/>
            </a:ext>
          </a:extLst>
        </xdr:cNvPr>
        <xdr:cNvSpPr txBox="1">
          <a:spLocks noChangeArrowheads="1"/>
        </xdr:cNvSpPr>
      </xdr:nvSpPr>
      <xdr:spPr bwMode="auto">
        <a:xfrm>
          <a:off x="2446020" y="1127760"/>
          <a:ext cx="906780" cy="3733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64008" tIns="36576" rIns="0" bIns="0" anchor="t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ﾉｰﾏﾙ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137160</xdr:rowOff>
    </xdr:from>
    <xdr:to>
      <xdr:col>4</xdr:col>
      <xdr:colOff>617220</xdr:colOff>
      <xdr:row>40</xdr:row>
      <xdr:rowOff>53340</xdr:rowOff>
    </xdr:to>
    <xdr:graphicFrame macro="">
      <xdr:nvGraphicFramePr>
        <xdr:cNvPr id="4097" name="グラフ 1">
          <a:extLst>
            <a:ext uri="{FF2B5EF4-FFF2-40B4-BE49-F238E27FC236}">
              <a16:creationId xmlns:a16="http://schemas.microsoft.com/office/drawing/2014/main" id="{A8E070A3-6484-D5B0-D3AE-5B175E418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746760</xdr:colOff>
      <xdr:row>21</xdr:row>
      <xdr:rowOff>137160</xdr:rowOff>
    </xdr:from>
    <xdr:to>
      <xdr:col>9</xdr:col>
      <xdr:colOff>518160</xdr:colOff>
      <xdr:row>40</xdr:row>
      <xdr:rowOff>38100</xdr:rowOff>
    </xdr:to>
    <xdr:graphicFrame macro="">
      <xdr:nvGraphicFramePr>
        <xdr:cNvPr id="4098" name="グラフ 2">
          <a:extLst>
            <a:ext uri="{FF2B5EF4-FFF2-40B4-BE49-F238E27FC236}">
              <a16:creationId xmlns:a16="http://schemas.microsoft.com/office/drawing/2014/main" id="{CD9D9C79-23BC-EEB8-AF8C-276B9D92F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showGridLines="0" zoomScale="75" workbookViewId="0">
      <selection activeCell="E53" sqref="E53"/>
    </sheetView>
  </sheetViews>
  <sheetFormatPr defaultRowHeight="13.2" x14ac:dyDescent="0.2"/>
  <cols>
    <col min="2" max="2" width="12.77734375" customWidth="1"/>
    <col min="3" max="3" width="14.88671875" customWidth="1"/>
    <col min="4" max="4" width="19.88671875" customWidth="1"/>
    <col min="5" max="5" width="14.109375" customWidth="1"/>
    <col min="6" max="6" width="13.77734375" customWidth="1"/>
    <col min="7" max="7" width="9.77734375" customWidth="1"/>
    <col min="8" max="9" width="12.44140625" customWidth="1"/>
    <col min="10" max="10" width="13" customWidth="1"/>
    <col min="11" max="11" width="13.44140625" customWidth="1"/>
    <col min="12" max="12" width="8.33203125" style="118" customWidth="1"/>
  </cols>
  <sheetData>
    <row r="2" spans="2:12" ht="16.2" x14ac:dyDescent="0.2">
      <c r="B2" s="94" t="s">
        <v>0</v>
      </c>
      <c r="E2" s="17"/>
      <c r="F2" s="18"/>
      <c r="G2" s="18"/>
      <c r="H2" s="89" t="s">
        <v>1</v>
      </c>
    </row>
    <row r="3" spans="2:12" ht="16.2" x14ac:dyDescent="0.2">
      <c r="C3" s="94" t="s">
        <v>2</v>
      </c>
      <c r="E3" s="17"/>
      <c r="F3" s="18"/>
      <c r="G3" s="18"/>
      <c r="H3" s="29" t="s">
        <v>3</v>
      </c>
    </row>
    <row r="4" spans="2:12" x14ac:dyDescent="0.2">
      <c r="E4" s="17"/>
      <c r="F4" s="18"/>
      <c r="G4" s="18"/>
      <c r="I4" s="25"/>
    </row>
    <row r="5" spans="2:12" x14ac:dyDescent="0.2">
      <c r="E5" t="s">
        <v>4</v>
      </c>
      <c r="F5" t="s">
        <v>5</v>
      </c>
      <c r="K5" s="24" t="s">
        <v>6</v>
      </c>
    </row>
    <row r="6" spans="2:12" x14ac:dyDescent="0.2">
      <c r="B6" s="89" t="s">
        <v>7</v>
      </c>
      <c r="C6" s="89" t="s">
        <v>8</v>
      </c>
      <c r="D6" s="89" t="s">
        <v>9</v>
      </c>
      <c r="E6" s="29" t="s">
        <v>10</v>
      </c>
      <c r="F6" s="29" t="s">
        <v>11</v>
      </c>
      <c r="G6" s="29" t="s">
        <v>12</v>
      </c>
      <c r="H6" s="29" t="s">
        <v>13</v>
      </c>
      <c r="K6" s="1" t="s">
        <v>14</v>
      </c>
      <c r="L6" s="13">
        <v>1.2</v>
      </c>
    </row>
    <row r="7" spans="2:12" x14ac:dyDescent="0.2">
      <c r="B7" s="13" t="s">
        <v>15</v>
      </c>
      <c r="C7" s="1">
        <v>0</v>
      </c>
      <c r="D7" s="1">
        <v>0</v>
      </c>
      <c r="E7" s="5">
        <f t="shared" ref="E7:E14" si="0">8*$D7*$L$7/3.14159/$L$6^3/1000*$L$15</f>
        <v>0</v>
      </c>
      <c r="F7" s="2">
        <v>0</v>
      </c>
      <c r="G7" s="5">
        <f>F7*14.2233</f>
        <v>0</v>
      </c>
      <c r="H7" s="8"/>
      <c r="K7" s="1" t="s">
        <v>16</v>
      </c>
      <c r="L7" s="13">
        <v>9.6</v>
      </c>
    </row>
    <row r="8" spans="2:12" x14ac:dyDescent="0.2">
      <c r="B8" s="1">
        <f t="shared" ref="B8:B14" si="1">40-C8</f>
        <v>35</v>
      </c>
      <c r="C8" s="1">
        <v>5</v>
      </c>
      <c r="D8" s="1">
        <v>1057</v>
      </c>
      <c r="E8" s="5">
        <f t="shared" si="0"/>
        <v>17.705215441154884</v>
      </c>
      <c r="F8" s="2">
        <f t="shared" ref="F8:F14" si="2">D8/(1.4^2*3.141592/4)/1000</f>
        <v>0.68664004019072411</v>
      </c>
      <c r="G8" s="5">
        <f t="shared" ref="G8:G14" si="3">F8*14.2233</f>
        <v>9.7662872836447256</v>
      </c>
      <c r="H8" s="8"/>
      <c r="K8" s="1" t="s">
        <v>17</v>
      </c>
      <c r="L8" s="13">
        <v>11</v>
      </c>
    </row>
    <row r="9" spans="2:12" x14ac:dyDescent="0.2">
      <c r="B9" s="1">
        <f t="shared" si="1"/>
        <v>30</v>
      </c>
      <c r="C9" s="1">
        <v>10</v>
      </c>
      <c r="D9" s="1">
        <v>2136</v>
      </c>
      <c r="E9" s="5">
        <f t="shared" si="0"/>
        <v>35.778940569826716</v>
      </c>
      <c r="F9" s="2">
        <f t="shared" si="2"/>
        <v>1.3875715476323429</v>
      </c>
      <c r="G9" s="5">
        <f t="shared" si="3"/>
        <v>19.735846393439104</v>
      </c>
      <c r="H9" s="8"/>
      <c r="K9" s="1" t="s">
        <v>18</v>
      </c>
      <c r="L9" s="13">
        <v>13</v>
      </c>
    </row>
    <row r="10" spans="2:12" x14ac:dyDescent="0.2">
      <c r="B10" s="3">
        <f t="shared" si="1"/>
        <v>27.1</v>
      </c>
      <c r="C10" s="3">
        <v>12.9</v>
      </c>
      <c r="D10" s="3">
        <v>2767</v>
      </c>
      <c r="E10" s="6">
        <f t="shared" si="0"/>
        <v>46.348468425426276</v>
      </c>
      <c r="F10" s="4">
        <f t="shared" si="2"/>
        <v>1.7974768128739202</v>
      </c>
      <c r="G10" s="6">
        <f t="shared" si="3"/>
        <v>25.566051952549628</v>
      </c>
      <c r="H10" s="19" t="s">
        <v>19</v>
      </c>
      <c r="K10" s="1" t="s">
        <v>20</v>
      </c>
      <c r="L10" s="13" t="s">
        <v>21</v>
      </c>
    </row>
    <row r="11" spans="2:12" x14ac:dyDescent="0.2">
      <c r="B11" s="1">
        <f t="shared" si="1"/>
        <v>25</v>
      </c>
      <c r="C11" s="1">
        <v>15</v>
      </c>
      <c r="D11" s="1">
        <v>3226</v>
      </c>
      <c r="E11" s="5">
        <f t="shared" si="0"/>
        <v>54.036920542257022</v>
      </c>
      <c r="F11" s="2">
        <f t="shared" si="2"/>
        <v>2.0956487886994095</v>
      </c>
      <c r="G11" s="5">
        <f t="shared" si="3"/>
        <v>29.807041416308312</v>
      </c>
      <c r="H11" s="9"/>
      <c r="K11" s="1" t="s">
        <v>22</v>
      </c>
      <c r="L11" s="13">
        <v>40</v>
      </c>
    </row>
    <row r="12" spans="2:12" x14ac:dyDescent="0.2">
      <c r="B12" s="3">
        <f t="shared" si="1"/>
        <v>22.6</v>
      </c>
      <c r="C12" s="3">
        <v>17.399999999999999</v>
      </c>
      <c r="D12" s="3">
        <v>3754</v>
      </c>
      <c r="E12" s="6">
        <f>8*$D12*$L$7/3.14159/$L$6^3/1000*$L$15</f>
        <v>62.881153042663634</v>
      </c>
      <c r="F12" s="144">
        <f t="shared" si="2"/>
        <v>2.438644002720888</v>
      </c>
      <c r="G12" s="6">
        <f t="shared" si="3"/>
        <v>34.685565243900008</v>
      </c>
      <c r="H12" s="19" t="s">
        <v>23</v>
      </c>
      <c r="I12" t="s">
        <v>24</v>
      </c>
      <c r="K12" s="1" t="s">
        <v>25</v>
      </c>
      <c r="L12" s="13" t="s">
        <v>26</v>
      </c>
    </row>
    <row r="13" spans="2:12" x14ac:dyDescent="0.2">
      <c r="B13" s="1">
        <f t="shared" si="1"/>
        <v>20</v>
      </c>
      <c r="C13" s="1">
        <v>20</v>
      </c>
      <c r="D13" s="1">
        <v>4344</v>
      </c>
      <c r="E13" s="5">
        <f t="shared" si="0"/>
        <v>72.763912844254335</v>
      </c>
      <c r="F13" s="2">
        <f t="shared" si="2"/>
        <v>2.8219151699039786</v>
      </c>
      <c r="G13" s="5">
        <f t="shared" si="3"/>
        <v>40.13694603609526</v>
      </c>
      <c r="H13" s="9"/>
      <c r="K13" s="1" t="s">
        <v>27</v>
      </c>
      <c r="L13" s="13">
        <v>217.7</v>
      </c>
    </row>
    <row r="14" spans="2:12" x14ac:dyDescent="0.2">
      <c r="B14" s="3">
        <f t="shared" si="1"/>
        <v>18.600000000000001</v>
      </c>
      <c r="C14" s="3">
        <v>21.4</v>
      </c>
      <c r="D14" s="3">
        <v>4656</v>
      </c>
      <c r="E14" s="6">
        <f t="shared" si="0"/>
        <v>77.990050230858245</v>
      </c>
      <c r="F14" s="4">
        <f t="shared" si="2"/>
        <v>3.0245941600075792</v>
      </c>
      <c r="G14" s="6">
        <f t="shared" si="3"/>
        <v>43.019710116035803</v>
      </c>
      <c r="H14" s="19" t="s">
        <v>28</v>
      </c>
      <c r="K14" s="1" t="s">
        <v>29</v>
      </c>
      <c r="L14" s="13">
        <f>L7/L6</f>
        <v>8</v>
      </c>
    </row>
    <row r="15" spans="2:12" x14ac:dyDescent="0.2">
      <c r="K15" s="1" t="s">
        <v>30</v>
      </c>
      <c r="L15" s="128">
        <f>(4*L14-1)/(4*L14-4)+0.615/L14</f>
        <v>1.1840178571428572</v>
      </c>
    </row>
    <row r="16" spans="2:12" x14ac:dyDescent="0.2">
      <c r="D16" s="23"/>
      <c r="E16" s="23"/>
      <c r="F16" s="23"/>
      <c r="G16" s="23"/>
      <c r="H16" s="10"/>
      <c r="I16" s="10"/>
      <c r="J16" s="21"/>
    </row>
    <row r="17" spans="2:10" x14ac:dyDescent="0.2">
      <c r="D17" s="23"/>
      <c r="E17" s="23"/>
      <c r="F17" s="23"/>
      <c r="G17" s="23"/>
      <c r="H17" s="10"/>
      <c r="I17" s="10"/>
      <c r="J17" s="10"/>
    </row>
    <row r="18" spans="2:10" x14ac:dyDescent="0.2">
      <c r="D18" s="25"/>
      <c r="E18" s="25"/>
      <c r="F18" s="25"/>
      <c r="G18" s="25"/>
      <c r="H18" s="12"/>
      <c r="I18" s="10"/>
      <c r="J18" s="10"/>
    </row>
    <row r="19" spans="2:10" x14ac:dyDescent="0.2">
      <c r="D19" s="26"/>
      <c r="E19" s="22"/>
      <c r="F19" s="27"/>
      <c r="G19" s="27"/>
      <c r="H19" s="12"/>
      <c r="I19" s="10"/>
      <c r="J19" s="21"/>
    </row>
    <row r="20" spans="2:10" x14ac:dyDescent="0.2">
      <c r="D20" s="26"/>
      <c r="E20" s="22"/>
      <c r="F20" s="27"/>
      <c r="G20" s="27"/>
      <c r="H20" s="12"/>
      <c r="I20" s="10"/>
      <c r="J20" s="10"/>
    </row>
    <row r="21" spans="2:10" x14ac:dyDescent="0.2">
      <c r="D21" s="26"/>
      <c r="E21" s="22"/>
      <c r="F21" s="27"/>
      <c r="G21" s="27"/>
      <c r="H21" s="12"/>
      <c r="I21" s="10"/>
      <c r="J21" s="10"/>
    </row>
    <row r="22" spans="2:10" x14ac:dyDescent="0.2">
      <c r="D22" s="22"/>
      <c r="E22" s="22"/>
      <c r="F22" s="22"/>
      <c r="G22" s="22"/>
      <c r="H22" s="12"/>
    </row>
    <row r="23" spans="2:10" x14ac:dyDescent="0.2">
      <c r="D23" s="23"/>
      <c r="E23" s="23"/>
      <c r="F23" s="23"/>
      <c r="G23" s="23"/>
      <c r="H23" s="10"/>
    </row>
    <row r="24" spans="2:10" x14ac:dyDescent="0.2">
      <c r="D24" s="23"/>
      <c r="E24" s="23"/>
      <c r="F24" s="23"/>
      <c r="G24" s="23"/>
      <c r="H24" s="10"/>
    </row>
    <row r="25" spans="2:10" x14ac:dyDescent="0.2">
      <c r="D25" s="23"/>
      <c r="E25" s="23"/>
      <c r="F25" s="23"/>
      <c r="G25" s="23"/>
      <c r="H25" s="10"/>
    </row>
    <row r="26" spans="2:10" ht="13.5" customHeight="1" x14ac:dyDescent="0.2">
      <c r="B26" s="17"/>
      <c r="C26" s="24"/>
      <c r="D26" s="23"/>
      <c r="E26" s="23"/>
      <c r="F26" s="23"/>
      <c r="G26" s="23"/>
      <c r="H26" s="10"/>
    </row>
    <row r="27" spans="2:10" x14ac:dyDescent="0.2">
      <c r="B27" s="12"/>
      <c r="C27" s="25"/>
      <c r="D27" s="25"/>
      <c r="E27" s="25"/>
      <c r="F27" s="25"/>
      <c r="G27" s="25"/>
      <c r="H27" s="12"/>
    </row>
    <row r="28" spans="2:10" x14ac:dyDescent="0.2">
      <c r="B28" s="11"/>
      <c r="C28" s="22"/>
      <c r="D28" s="26"/>
      <c r="E28" s="22"/>
      <c r="F28" s="22"/>
      <c r="G28" s="22"/>
      <c r="H28" s="12"/>
    </row>
    <row r="29" spans="2:10" x14ac:dyDescent="0.2">
      <c r="B29" s="11"/>
      <c r="F29" s="22"/>
      <c r="G29" s="22"/>
      <c r="H29" s="12"/>
      <c r="I29" s="18" t="s">
        <v>31</v>
      </c>
    </row>
    <row r="30" spans="2:10" x14ac:dyDescent="0.2">
      <c r="B30" s="77" t="s">
        <v>32</v>
      </c>
      <c r="F30" s="22"/>
      <c r="I30" s="18" t="s">
        <v>33</v>
      </c>
    </row>
    <row r="31" spans="2:10" x14ac:dyDescent="0.2">
      <c r="B31" s="8" t="s">
        <v>34</v>
      </c>
      <c r="C31" s="8" t="s">
        <v>35</v>
      </c>
      <c r="D31" s="8" t="s">
        <v>36</v>
      </c>
      <c r="E31" s="8" t="s">
        <v>37</v>
      </c>
      <c r="F31" s="22"/>
      <c r="I31" s="10" t="s">
        <v>38</v>
      </c>
    </row>
    <row r="32" spans="2:10" x14ac:dyDescent="0.2">
      <c r="B32" s="8">
        <v>2</v>
      </c>
      <c r="C32" s="73">
        <f>B32*2.54*2.54/453.592*1000</f>
        <v>28.44670981851532</v>
      </c>
      <c r="D32" s="16">
        <f t="shared" ref="D32:D40" si="4">B32*(1.4^2*3.14/4)*1000</f>
        <v>3077.2</v>
      </c>
      <c r="E32" s="73">
        <f t="shared" ref="E32:E40" si="5">D32/1000*9.8</f>
        <v>30.156560000000002</v>
      </c>
      <c r="F32" s="10"/>
      <c r="I32" s="10" t="s">
        <v>39</v>
      </c>
    </row>
    <row r="33" spans="2:9" x14ac:dyDescent="0.2">
      <c r="B33" s="8">
        <v>2.5</v>
      </c>
      <c r="C33" s="73">
        <f t="shared" ref="C33:C40" si="6">B33*2.54*2.54/453.592*1000</f>
        <v>35.558387273144142</v>
      </c>
      <c r="D33" s="16">
        <f t="shared" si="4"/>
        <v>3846.5</v>
      </c>
      <c r="E33" s="73">
        <f t="shared" si="5"/>
        <v>37.695700000000002</v>
      </c>
      <c r="F33" s="10"/>
      <c r="I33" s="10" t="s">
        <v>40</v>
      </c>
    </row>
    <row r="34" spans="2:9" x14ac:dyDescent="0.2">
      <c r="B34" s="8">
        <v>3</v>
      </c>
      <c r="C34" s="73">
        <f t="shared" si="6"/>
        <v>42.670064727772981</v>
      </c>
      <c r="D34" s="16">
        <f t="shared" si="4"/>
        <v>4615.8</v>
      </c>
      <c r="E34" s="73">
        <f t="shared" si="5"/>
        <v>45.234840000000005</v>
      </c>
      <c r="F34" s="10"/>
      <c r="I34" s="23" t="s">
        <v>41</v>
      </c>
    </row>
    <row r="35" spans="2:9" x14ac:dyDescent="0.2">
      <c r="B35" s="8">
        <v>3.5</v>
      </c>
      <c r="C35" s="73">
        <f t="shared" si="6"/>
        <v>49.781742182401807</v>
      </c>
      <c r="D35" s="16">
        <f t="shared" si="4"/>
        <v>5385.0999999999995</v>
      </c>
      <c r="E35" s="73">
        <f t="shared" si="5"/>
        <v>52.773980000000002</v>
      </c>
      <c r="F35" s="10"/>
    </row>
    <row r="36" spans="2:9" x14ac:dyDescent="0.2">
      <c r="B36" s="8">
        <v>4</v>
      </c>
      <c r="C36" s="73">
        <f t="shared" si="6"/>
        <v>56.89341963703064</v>
      </c>
      <c r="D36" s="16">
        <f t="shared" si="4"/>
        <v>6154.4</v>
      </c>
      <c r="E36" s="73">
        <f t="shared" si="5"/>
        <v>60.313120000000005</v>
      </c>
      <c r="F36" s="10"/>
      <c r="I36" t="s">
        <v>42</v>
      </c>
    </row>
    <row r="37" spans="2:9" x14ac:dyDescent="0.2">
      <c r="B37" s="65">
        <v>4.5</v>
      </c>
      <c r="C37" s="84">
        <f t="shared" si="6"/>
        <v>64.005097091659465</v>
      </c>
      <c r="D37" s="85">
        <f t="shared" si="4"/>
        <v>6923.7</v>
      </c>
      <c r="E37" s="84">
        <f t="shared" si="5"/>
        <v>67.852260000000001</v>
      </c>
      <c r="I37" t="s">
        <v>43</v>
      </c>
    </row>
    <row r="38" spans="2:9" x14ac:dyDescent="0.2">
      <c r="B38" s="103">
        <v>5</v>
      </c>
      <c r="C38" s="104">
        <f t="shared" si="6"/>
        <v>71.116774546288283</v>
      </c>
      <c r="D38" s="105">
        <f t="shared" si="4"/>
        <v>7693</v>
      </c>
      <c r="E38" s="104">
        <f t="shared" si="5"/>
        <v>75.391400000000004</v>
      </c>
      <c r="F38" s="92" t="s">
        <v>44</v>
      </c>
      <c r="G38" s="10"/>
      <c r="I38" t="s">
        <v>45</v>
      </c>
    </row>
    <row r="39" spans="2:9" x14ac:dyDescent="0.2">
      <c r="B39" s="65">
        <v>5.5</v>
      </c>
      <c r="C39" s="84">
        <f t="shared" si="6"/>
        <v>78.22845200091713</v>
      </c>
      <c r="D39" s="85">
        <f t="shared" si="4"/>
        <v>8462.2999999999993</v>
      </c>
      <c r="E39" s="84">
        <f t="shared" si="5"/>
        <v>82.930539999999993</v>
      </c>
      <c r="I39" t="s">
        <v>46</v>
      </c>
    </row>
    <row r="40" spans="2:9" x14ac:dyDescent="0.2">
      <c r="B40" s="8">
        <v>6</v>
      </c>
      <c r="C40" s="73">
        <f t="shared" si="6"/>
        <v>85.340129455545963</v>
      </c>
      <c r="D40" s="16">
        <f t="shared" si="4"/>
        <v>9231.6</v>
      </c>
      <c r="E40" s="73">
        <f t="shared" si="5"/>
        <v>90.469680000000011</v>
      </c>
      <c r="I40" t="s">
        <v>47</v>
      </c>
    </row>
    <row r="41" spans="2:9" x14ac:dyDescent="0.2">
      <c r="D41" s="93" t="s">
        <v>48</v>
      </c>
      <c r="I41" t="s">
        <v>49</v>
      </c>
    </row>
  </sheetData>
  <phoneticPr fontId="4"/>
  <pageMargins left="0.34" right="0.33" top="0.98425196850393704" bottom="0.98425196850393704" header="0.51181102362204722" footer="0.51181102362204722"/>
  <pageSetup paperSize="9" scale="85" orientation="landscape" horizontalDpi="0" verticalDpi="0" r:id="rId1"/>
  <headerFooter alignWithMargins="0">
    <oddHeader>&amp;A</oddHead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68"/>
  <sheetViews>
    <sheetView showGridLines="0" tabSelected="1" workbookViewId="0">
      <selection activeCell="B30" sqref="B30"/>
    </sheetView>
  </sheetViews>
  <sheetFormatPr defaultColWidth="9" defaultRowHeight="10.8" x14ac:dyDescent="0.15"/>
  <cols>
    <col min="1" max="1" width="94.88671875" style="153" customWidth="1"/>
    <col min="2" max="16384" width="9" style="153"/>
  </cols>
  <sheetData>
    <row r="2" spans="1:1" x14ac:dyDescent="0.15">
      <c r="A2" s="154"/>
    </row>
    <row r="3" spans="1:1" x14ac:dyDescent="0.15">
      <c r="A3" s="154"/>
    </row>
    <row r="4" spans="1:1" x14ac:dyDescent="0.15">
      <c r="A4" s="154" t="s">
        <v>50</v>
      </c>
    </row>
    <row r="5" spans="1:1" x14ac:dyDescent="0.15">
      <c r="A5" s="154"/>
    </row>
    <row r="6" spans="1:1" x14ac:dyDescent="0.15">
      <c r="A6" s="155" t="s">
        <v>51</v>
      </c>
    </row>
    <row r="7" spans="1:1" x14ac:dyDescent="0.15">
      <c r="A7" s="155" t="s">
        <v>215</v>
      </c>
    </row>
    <row r="8" spans="1:1" x14ac:dyDescent="0.15">
      <c r="A8" s="155"/>
    </row>
    <row r="9" spans="1:1" x14ac:dyDescent="0.15">
      <c r="A9" s="155"/>
    </row>
    <row r="10" spans="1:1" x14ac:dyDescent="0.15">
      <c r="A10" s="156" t="s">
        <v>52</v>
      </c>
    </row>
    <row r="11" spans="1:1" x14ac:dyDescent="0.15">
      <c r="A11" s="155" t="s">
        <v>53</v>
      </c>
    </row>
    <row r="12" spans="1:1" x14ac:dyDescent="0.15">
      <c r="A12" s="155" t="s">
        <v>54</v>
      </c>
    </row>
    <row r="13" spans="1:1" x14ac:dyDescent="0.15">
      <c r="A13" s="155" t="s">
        <v>55</v>
      </c>
    </row>
    <row r="14" spans="1:1" x14ac:dyDescent="0.15">
      <c r="A14" s="155"/>
    </row>
    <row r="15" spans="1:1" ht="12.6" x14ac:dyDescent="0.15">
      <c r="A15" s="155" t="s">
        <v>56</v>
      </c>
    </row>
    <row r="16" spans="1:1" x14ac:dyDescent="0.15">
      <c r="A16" s="155" t="s">
        <v>57</v>
      </c>
    </row>
    <row r="17" spans="1:1" x14ac:dyDescent="0.15">
      <c r="A17" s="155"/>
    </row>
    <row r="18" spans="1:1" x14ac:dyDescent="0.15">
      <c r="A18" s="155"/>
    </row>
    <row r="19" spans="1:1" x14ac:dyDescent="0.15">
      <c r="A19" s="155" t="s">
        <v>58</v>
      </c>
    </row>
    <row r="20" spans="1:1" x14ac:dyDescent="0.15">
      <c r="A20" s="155" t="s">
        <v>59</v>
      </c>
    </row>
    <row r="21" spans="1:1" ht="21.6" x14ac:dyDescent="0.15">
      <c r="A21" s="155" t="s">
        <v>60</v>
      </c>
    </row>
    <row r="22" spans="1:1" x14ac:dyDescent="0.15">
      <c r="A22" s="155" t="s">
        <v>61</v>
      </c>
    </row>
    <row r="23" spans="1:1" ht="12.6" x14ac:dyDescent="0.15">
      <c r="A23" s="155" t="s">
        <v>62</v>
      </c>
    </row>
    <row r="24" spans="1:1" x14ac:dyDescent="0.15">
      <c r="A24" s="155" t="s">
        <v>63</v>
      </c>
    </row>
    <row r="25" spans="1:1" x14ac:dyDescent="0.15">
      <c r="A25" s="155" t="s">
        <v>64</v>
      </c>
    </row>
    <row r="26" spans="1:1" x14ac:dyDescent="0.15">
      <c r="A26" s="155"/>
    </row>
    <row r="27" spans="1:1" x14ac:dyDescent="0.15">
      <c r="A27" s="155"/>
    </row>
    <row r="28" spans="1:1" x14ac:dyDescent="0.15">
      <c r="A28" s="155" t="s">
        <v>65</v>
      </c>
    </row>
    <row r="29" spans="1:1" x14ac:dyDescent="0.15">
      <c r="A29" s="155" t="s">
        <v>66</v>
      </c>
    </row>
    <row r="30" spans="1:1" ht="21.6" x14ac:dyDescent="0.15">
      <c r="A30" s="155" t="s">
        <v>67</v>
      </c>
    </row>
    <row r="31" spans="1:1" x14ac:dyDescent="0.15">
      <c r="A31" s="155"/>
    </row>
    <row r="32" spans="1:1" x14ac:dyDescent="0.15">
      <c r="A32" s="155"/>
    </row>
    <row r="33" spans="1:1" x14ac:dyDescent="0.15">
      <c r="A33" s="155"/>
    </row>
    <row r="34" spans="1:1" x14ac:dyDescent="0.15">
      <c r="A34" s="155"/>
    </row>
    <row r="35" spans="1:1" x14ac:dyDescent="0.15">
      <c r="A35" s="155"/>
    </row>
    <row r="36" spans="1:1" x14ac:dyDescent="0.15">
      <c r="A36" s="155"/>
    </row>
    <row r="37" spans="1:1" x14ac:dyDescent="0.15">
      <c r="A37" s="153" t="s">
        <v>68</v>
      </c>
    </row>
    <row r="39" spans="1:1" x14ac:dyDescent="0.15">
      <c r="A39" s="155"/>
    </row>
    <row r="40" spans="1:1" x14ac:dyDescent="0.15">
      <c r="A40" s="155" t="s">
        <v>69</v>
      </c>
    </row>
    <row r="41" spans="1:1" x14ac:dyDescent="0.15">
      <c r="A41" s="155" t="s">
        <v>214</v>
      </c>
    </row>
    <row r="42" spans="1:1" x14ac:dyDescent="0.15">
      <c r="A42" s="155" t="s">
        <v>213</v>
      </c>
    </row>
    <row r="43" spans="1:1" ht="21.6" x14ac:dyDescent="0.15">
      <c r="A43" s="155" t="s">
        <v>70</v>
      </c>
    </row>
    <row r="44" spans="1:1" x14ac:dyDescent="0.15">
      <c r="A44" s="155" t="s">
        <v>71</v>
      </c>
    </row>
    <row r="45" spans="1:1" x14ac:dyDescent="0.15">
      <c r="A45" s="155" t="s">
        <v>72</v>
      </c>
    </row>
    <row r="46" spans="1:1" ht="12.6" x14ac:dyDescent="0.15">
      <c r="A46" s="155" t="s">
        <v>73</v>
      </c>
    </row>
    <row r="47" spans="1:1" x14ac:dyDescent="0.15">
      <c r="A47" s="155" t="s">
        <v>74</v>
      </c>
    </row>
    <row r="48" spans="1:1" ht="21.6" x14ac:dyDescent="0.15">
      <c r="A48" s="155" t="s">
        <v>75</v>
      </c>
    </row>
    <row r="49" spans="1:1" x14ac:dyDescent="0.15">
      <c r="A49" s="155" t="s">
        <v>76</v>
      </c>
    </row>
    <row r="51" spans="1:1" x14ac:dyDescent="0.15">
      <c r="A51" s="155"/>
    </row>
    <row r="52" spans="1:1" x14ac:dyDescent="0.15">
      <c r="A52" s="155"/>
    </row>
    <row r="53" spans="1:1" x14ac:dyDescent="0.15">
      <c r="A53" s="155"/>
    </row>
    <row r="54" spans="1:1" x14ac:dyDescent="0.15">
      <c r="A54" s="155"/>
    </row>
    <row r="55" spans="1:1" x14ac:dyDescent="0.15">
      <c r="A55" s="156"/>
    </row>
    <row r="56" spans="1:1" x14ac:dyDescent="0.15">
      <c r="A56" s="156"/>
    </row>
    <row r="57" spans="1:1" x14ac:dyDescent="0.15">
      <c r="A57" s="156"/>
    </row>
    <row r="59" spans="1:1" x14ac:dyDescent="0.15">
      <c r="A59" s="156" t="s">
        <v>77</v>
      </c>
    </row>
    <row r="60" spans="1:1" x14ac:dyDescent="0.15">
      <c r="A60" s="155" t="s">
        <v>78</v>
      </c>
    </row>
    <row r="61" spans="1:1" x14ac:dyDescent="0.15">
      <c r="A61" s="155" t="s">
        <v>79</v>
      </c>
    </row>
    <row r="62" spans="1:1" x14ac:dyDescent="0.15">
      <c r="A62" s="155" t="s">
        <v>80</v>
      </c>
    </row>
    <row r="63" spans="1:1" x14ac:dyDescent="0.15">
      <c r="A63" s="155" t="s">
        <v>81</v>
      </c>
    </row>
    <row r="64" spans="1:1" x14ac:dyDescent="0.15">
      <c r="A64" s="155" t="s">
        <v>82</v>
      </c>
    </row>
    <row r="65" spans="1:1" x14ac:dyDescent="0.15">
      <c r="A65" s="155" t="s">
        <v>216</v>
      </c>
    </row>
    <row r="66" spans="1:1" x14ac:dyDescent="0.15">
      <c r="A66" s="155"/>
    </row>
    <row r="67" spans="1:1" x14ac:dyDescent="0.15">
      <c r="A67" s="155"/>
    </row>
    <row r="68" spans="1:1" x14ac:dyDescent="0.15">
      <c r="A68" s="154" t="s">
        <v>83</v>
      </c>
    </row>
  </sheetData>
  <phoneticPr fontId="4"/>
  <pageMargins left="0.75" right="0.75" top="0.66" bottom="0.54" header="0.51200000000000001" footer="0.51200000000000001"/>
  <pageSetup paperSize="9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Sheet.8" shapeId="2052" r:id="rId4">
          <objectPr defaultSize="0" autoFill="0" autoLine="0" autoPict="0" r:id="rId5">
            <anchor moveWithCells="1" sizeWithCells="1">
              <from>
                <xdr:col>0</xdr:col>
                <xdr:colOff>68580</xdr:colOff>
                <xdr:row>30</xdr:row>
                <xdr:rowOff>15240</xdr:rowOff>
              </from>
              <to>
                <xdr:col>0</xdr:col>
                <xdr:colOff>3627120</xdr:colOff>
                <xdr:row>36</xdr:row>
                <xdr:rowOff>0</xdr:rowOff>
              </to>
            </anchor>
          </objectPr>
        </oleObject>
      </mc:Choice>
      <mc:Fallback>
        <oleObject progId="Excel.Sheet.8" shapeId="205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showGridLines="0" zoomScale="75" workbookViewId="0">
      <selection activeCell="E39" sqref="E39"/>
    </sheetView>
  </sheetViews>
  <sheetFormatPr defaultRowHeight="13.2" x14ac:dyDescent="0.2"/>
  <cols>
    <col min="1" max="1" width="2.88671875" customWidth="1"/>
    <col min="2" max="2" width="13.44140625" customWidth="1"/>
    <col min="3" max="3" width="12.77734375" customWidth="1"/>
    <col min="4" max="4" width="14.21875" customWidth="1"/>
    <col min="5" max="5" width="21.88671875" customWidth="1"/>
    <col min="6" max="6" width="16.33203125" customWidth="1"/>
    <col min="7" max="7" width="16.44140625" customWidth="1"/>
    <col min="8" max="8" width="13.44140625" customWidth="1"/>
    <col min="9" max="9" width="6.33203125" customWidth="1"/>
    <col min="10" max="10" width="12.44140625" customWidth="1"/>
    <col min="11" max="11" width="14.77734375" customWidth="1"/>
    <col min="12" max="12" width="16" customWidth="1"/>
    <col min="13" max="13" width="10.33203125" customWidth="1"/>
    <col min="14" max="14" width="16" customWidth="1"/>
  </cols>
  <sheetData>
    <row r="2" spans="2:11" ht="16.2" x14ac:dyDescent="0.2">
      <c r="B2" s="94" t="s">
        <v>0</v>
      </c>
    </row>
    <row r="3" spans="2:11" ht="16.2" x14ac:dyDescent="0.2">
      <c r="C3" s="94" t="s">
        <v>84</v>
      </c>
    </row>
    <row r="4" spans="2:11" ht="16.2" x14ac:dyDescent="0.2">
      <c r="C4" s="94"/>
    </row>
    <row r="5" spans="2:11" ht="16.2" x14ac:dyDescent="0.2">
      <c r="B5" s="94" t="s">
        <v>100</v>
      </c>
      <c r="C5" s="94"/>
    </row>
    <row r="6" spans="2:11" ht="16.2" x14ac:dyDescent="0.2">
      <c r="B6" s="94" t="s">
        <v>102</v>
      </c>
      <c r="C6" s="94"/>
    </row>
    <row r="7" spans="2:11" ht="16.2" x14ac:dyDescent="0.2">
      <c r="B7" s="94" t="s">
        <v>103</v>
      </c>
      <c r="C7" s="94"/>
    </row>
    <row r="8" spans="2:11" x14ac:dyDescent="0.2">
      <c r="C8" s="23"/>
    </row>
    <row r="9" spans="2:11" x14ac:dyDescent="0.2">
      <c r="C9" s="28" t="s">
        <v>85</v>
      </c>
      <c r="F9" s="17"/>
      <c r="G9" s="18"/>
    </row>
    <row r="10" spans="2:11" x14ac:dyDescent="0.2">
      <c r="C10" s="65" t="s">
        <v>3</v>
      </c>
      <c r="F10" s="17"/>
      <c r="G10" s="18"/>
    </row>
    <row r="11" spans="2:11" x14ac:dyDescent="0.2">
      <c r="C11" s="77" t="s">
        <v>86</v>
      </c>
      <c r="F11" s="39" t="s">
        <v>87</v>
      </c>
      <c r="K11" s="10"/>
    </row>
    <row r="12" spans="2:11" x14ac:dyDescent="0.2">
      <c r="B12" s="8" t="s">
        <v>88</v>
      </c>
      <c r="C12" s="9" t="s">
        <v>7</v>
      </c>
      <c r="D12" s="9" t="s">
        <v>8</v>
      </c>
      <c r="E12" s="8" t="s">
        <v>9</v>
      </c>
      <c r="F12" s="65" t="s">
        <v>10</v>
      </c>
      <c r="G12" s="65" t="s">
        <v>11</v>
      </c>
      <c r="H12" s="8" t="s">
        <v>88</v>
      </c>
      <c r="J12" s="10"/>
      <c r="K12" s="10"/>
    </row>
    <row r="13" spans="2:11" x14ac:dyDescent="0.2">
      <c r="B13" s="8" t="s">
        <v>89</v>
      </c>
      <c r="C13" s="1">
        <f t="shared" ref="C13:C20" si="0">40-D13</f>
        <v>40</v>
      </c>
      <c r="D13" s="1">
        <v>0</v>
      </c>
      <c r="E13" s="1">
        <v>0</v>
      </c>
      <c r="F13" s="5">
        <f>8*E13*9.6/3.14159/1.2^3/1000*1.184</f>
        <v>0</v>
      </c>
      <c r="G13" s="1">
        <v>0</v>
      </c>
      <c r="H13" s="8" t="s">
        <v>89</v>
      </c>
      <c r="J13" s="10"/>
      <c r="K13" s="10"/>
    </row>
    <row r="14" spans="2:11" x14ac:dyDescent="0.2">
      <c r="B14" s="8"/>
      <c r="C14" s="1">
        <f t="shared" si="0"/>
        <v>35</v>
      </c>
      <c r="D14" s="1">
        <v>5</v>
      </c>
      <c r="E14" s="1">
        <v>1057</v>
      </c>
      <c r="F14" s="5">
        <f t="shared" ref="F14:F20" si="1">8*E14*9.6/3.14159/1.2^3/1000*1.184</f>
        <v>17.704948414302592</v>
      </c>
      <c r="G14" s="2">
        <f t="shared" ref="G14:G20" si="2">E14/(1.4^2*3.141592/4)/1000</f>
        <v>0.68664004019072411</v>
      </c>
      <c r="H14" s="8"/>
      <c r="J14" s="10"/>
      <c r="K14" s="10"/>
    </row>
    <row r="15" spans="2:11" x14ac:dyDescent="0.2">
      <c r="B15" s="9"/>
      <c r="C15" s="1">
        <f t="shared" si="0"/>
        <v>30</v>
      </c>
      <c r="D15" s="1">
        <v>10</v>
      </c>
      <c r="E15" s="1">
        <v>2136</v>
      </c>
      <c r="F15" s="5">
        <f t="shared" si="1"/>
        <v>35.778400958325768</v>
      </c>
      <c r="G15" s="2">
        <f t="shared" si="2"/>
        <v>1.3875715476323429</v>
      </c>
      <c r="H15" s="8"/>
      <c r="J15" s="10"/>
      <c r="K15" s="10"/>
    </row>
    <row r="16" spans="2:11" x14ac:dyDescent="0.2">
      <c r="B16" s="9" t="s">
        <v>19</v>
      </c>
      <c r="C16" s="75">
        <f t="shared" si="0"/>
        <v>27.1</v>
      </c>
      <c r="D16" s="75">
        <v>12.9</v>
      </c>
      <c r="E16" s="75">
        <v>2767</v>
      </c>
      <c r="F16" s="5">
        <f t="shared" si="1"/>
        <v>46.347769406220699</v>
      </c>
      <c r="G16" s="76">
        <f t="shared" si="2"/>
        <v>1.7974768128739202</v>
      </c>
      <c r="H16" s="9" t="s">
        <v>19</v>
      </c>
      <c r="K16" s="10"/>
    </row>
    <row r="17" spans="1:12" x14ac:dyDescent="0.2">
      <c r="B17" s="74"/>
      <c r="C17" s="75">
        <f t="shared" si="0"/>
        <v>25</v>
      </c>
      <c r="D17" s="75">
        <v>15</v>
      </c>
      <c r="E17" s="75">
        <v>3226</v>
      </c>
      <c r="F17" s="5">
        <f t="shared" si="1"/>
        <v>54.036105567209248</v>
      </c>
      <c r="G17" s="76">
        <f t="shared" si="2"/>
        <v>2.0956487886994095</v>
      </c>
      <c r="H17" s="74"/>
      <c r="K17" s="10"/>
    </row>
    <row r="18" spans="1:12" x14ac:dyDescent="0.2">
      <c r="B18" s="9" t="s">
        <v>23</v>
      </c>
      <c r="C18" s="75">
        <f t="shared" si="0"/>
        <v>22.6</v>
      </c>
      <c r="D18" s="75">
        <v>17.399999999999999</v>
      </c>
      <c r="E18" s="75">
        <v>3754</v>
      </c>
      <c r="F18" s="5">
        <f t="shared" si="1"/>
        <v>62.880204680503269</v>
      </c>
      <c r="G18" s="146">
        <f t="shared" si="2"/>
        <v>2.438644002720888</v>
      </c>
      <c r="H18" s="9" t="s">
        <v>23</v>
      </c>
      <c r="K18" s="10"/>
    </row>
    <row r="19" spans="1:12" x14ac:dyDescent="0.2">
      <c r="B19" s="74"/>
      <c r="C19" s="75">
        <f t="shared" si="0"/>
        <v>20</v>
      </c>
      <c r="D19" s="75">
        <v>20</v>
      </c>
      <c r="E19" s="75">
        <v>4344</v>
      </c>
      <c r="F19" s="5">
        <f t="shared" si="1"/>
        <v>72.762815432100723</v>
      </c>
      <c r="G19" s="76">
        <f t="shared" si="2"/>
        <v>2.8219151699039786</v>
      </c>
      <c r="H19" s="74"/>
      <c r="J19" s="10"/>
      <c r="K19" s="10"/>
    </row>
    <row r="20" spans="1:12" x14ac:dyDescent="0.2">
      <c r="B20" s="9" t="s">
        <v>28</v>
      </c>
      <c r="C20" s="75">
        <f t="shared" si="0"/>
        <v>18.600000000000001</v>
      </c>
      <c r="D20" s="75">
        <v>21.4</v>
      </c>
      <c r="E20" s="75">
        <v>4656</v>
      </c>
      <c r="F20" s="5">
        <f t="shared" si="1"/>
        <v>77.9888739990472</v>
      </c>
      <c r="G20" s="76">
        <f t="shared" si="2"/>
        <v>3.0245941600075792</v>
      </c>
      <c r="H20" s="9" t="s">
        <v>28</v>
      </c>
      <c r="J20" s="10"/>
      <c r="K20" s="10"/>
    </row>
    <row r="21" spans="1:12" x14ac:dyDescent="0.2">
      <c r="B21" s="40"/>
      <c r="C21" s="40"/>
      <c r="D21" s="40"/>
      <c r="E21" s="40"/>
      <c r="F21" s="40"/>
      <c r="G21" s="40"/>
      <c r="H21" s="40"/>
      <c r="J21" s="10"/>
      <c r="K21" s="10"/>
    </row>
    <row r="22" spans="1:12" x14ac:dyDescent="0.2">
      <c r="C22" s="77" t="s">
        <v>90</v>
      </c>
      <c r="J22" s="10"/>
      <c r="K22" s="21"/>
    </row>
    <row r="23" spans="1:12" x14ac:dyDescent="0.2">
      <c r="C23" s="7" t="s">
        <v>91</v>
      </c>
      <c r="D23" s="14">
        <v>3</v>
      </c>
      <c r="F23" s="39" t="s">
        <v>87</v>
      </c>
      <c r="J23" s="10"/>
      <c r="K23" s="10"/>
    </row>
    <row r="24" spans="1:12" x14ac:dyDescent="0.2">
      <c r="B24" s="8" t="s">
        <v>88</v>
      </c>
      <c r="C24" s="9" t="s">
        <v>7</v>
      </c>
      <c r="D24" s="9" t="s">
        <v>8</v>
      </c>
      <c r="E24" s="65" t="s">
        <v>92</v>
      </c>
      <c r="F24" s="65" t="s">
        <v>93</v>
      </c>
      <c r="G24" s="65" t="s">
        <v>94</v>
      </c>
      <c r="H24" s="8" t="s">
        <v>88</v>
      </c>
      <c r="J24" s="10"/>
      <c r="K24" s="10"/>
    </row>
    <row r="25" spans="1:12" x14ac:dyDescent="0.2">
      <c r="B25" s="9" t="s">
        <v>19</v>
      </c>
      <c r="C25" s="1">
        <f>27.1-D23</f>
        <v>24.1</v>
      </c>
      <c r="D25" s="1">
        <f>40-C25</f>
        <v>15.899999999999999</v>
      </c>
      <c r="E25" s="20">
        <f>217.7*D25-25.003</f>
        <v>3436.4269999999992</v>
      </c>
      <c r="F25" s="5">
        <f>8*E25*9.6/3.14159/1.2^3/1000*1.184</f>
        <v>57.560797317423464</v>
      </c>
      <c r="G25" s="31">
        <f>E25/1.54/1000</f>
        <v>2.2314461038961033</v>
      </c>
      <c r="H25" s="9" t="s">
        <v>19</v>
      </c>
      <c r="J25" s="10"/>
      <c r="K25" s="21"/>
    </row>
    <row r="26" spans="1:12" x14ac:dyDescent="0.2">
      <c r="B26" s="9" t="s">
        <v>23</v>
      </c>
      <c r="C26" s="1">
        <f>22.6-D23</f>
        <v>19.600000000000001</v>
      </c>
      <c r="D26" s="1">
        <f>40-C26</f>
        <v>20.399999999999999</v>
      </c>
      <c r="E26" s="20">
        <f>217.7*D26-25.003</f>
        <v>4416.0769999999993</v>
      </c>
      <c r="F26" s="5">
        <f>8*E26*9.6/3.14159/1.2^3/1000*1.184</f>
        <v>73.970118712003924</v>
      </c>
      <c r="G26" s="145">
        <f>E26/1.54/1000</f>
        <v>2.867582467532467</v>
      </c>
      <c r="H26" s="9" t="s">
        <v>23</v>
      </c>
      <c r="J26" s="10"/>
      <c r="K26" s="10"/>
    </row>
    <row r="27" spans="1:12" x14ac:dyDescent="0.2">
      <c r="B27" s="9" t="s">
        <v>28</v>
      </c>
      <c r="C27" s="1">
        <f>18.6-D23</f>
        <v>15.600000000000001</v>
      </c>
      <c r="D27" s="1">
        <f>40-C27</f>
        <v>24.4</v>
      </c>
      <c r="E27" s="20">
        <f>217.7*D27-25.003</f>
        <v>5286.8769999999995</v>
      </c>
      <c r="F27" s="5">
        <f>8*E27*9.6/3.14159/1.2^3/1000*1.184</f>
        <v>88.556182173853216</v>
      </c>
      <c r="G27" s="31">
        <f>E27/1.54/1000</f>
        <v>3.4330370129870125</v>
      </c>
      <c r="H27" s="9" t="s">
        <v>28</v>
      </c>
      <c r="J27" s="10"/>
      <c r="K27" s="10"/>
    </row>
    <row r="28" spans="1:12" x14ac:dyDescent="0.2">
      <c r="B28" s="12"/>
      <c r="C28" s="10" t="s">
        <v>95</v>
      </c>
      <c r="G28" s="11"/>
      <c r="H28" s="12"/>
    </row>
    <row r="29" spans="1:12" x14ac:dyDescent="0.2">
      <c r="B29" s="12"/>
      <c r="C29" s="10" t="s">
        <v>96</v>
      </c>
      <c r="H29" s="12"/>
    </row>
    <row r="30" spans="1:12" x14ac:dyDescent="0.2">
      <c r="B30" s="12"/>
      <c r="C30" s="132" t="s">
        <v>97</v>
      </c>
      <c r="H30" s="12"/>
    </row>
    <row r="31" spans="1:12" x14ac:dyDescent="0.2">
      <c r="A31" s="23"/>
      <c r="B31" s="23"/>
      <c r="C31" s="136" t="s">
        <v>98</v>
      </c>
      <c r="E31" s="23"/>
      <c r="F31" s="23"/>
      <c r="G31" s="106"/>
      <c r="H31" s="23"/>
    </row>
    <row r="32" spans="1:12" x14ac:dyDescent="0.2">
      <c r="A32" s="23"/>
      <c r="B32" s="23"/>
      <c r="C32" s="127"/>
      <c r="D32" s="24"/>
      <c r="E32" s="23"/>
      <c r="F32" s="23"/>
      <c r="K32" s="25"/>
      <c r="L32" s="25"/>
    </row>
    <row r="33" spans="1:12" x14ac:dyDescent="0.2">
      <c r="A33" s="23"/>
      <c r="B33" s="23"/>
      <c r="C33" s="127"/>
      <c r="D33" s="24"/>
      <c r="E33" s="23"/>
      <c r="F33" s="23"/>
      <c r="G33" s="75" t="s">
        <v>99</v>
      </c>
      <c r="H33" s="9">
        <f>1.2*13</f>
        <v>15.6</v>
      </c>
      <c r="K33" s="127"/>
      <c r="L33" s="131"/>
    </row>
    <row r="34" spans="1:12" ht="13.5" customHeight="1" x14ac:dyDescent="0.2">
      <c r="A34" s="23"/>
      <c r="G34" s="75" t="s">
        <v>101</v>
      </c>
      <c r="H34" s="9">
        <f>40-H33</f>
        <v>24.4</v>
      </c>
      <c r="K34" s="127"/>
      <c r="L34" s="131"/>
    </row>
    <row r="35" spans="1:12" x14ac:dyDescent="0.2">
      <c r="A35" s="23"/>
      <c r="K35" s="127"/>
      <c r="L35" s="131"/>
    </row>
    <row r="36" spans="1:12" x14ac:dyDescent="0.2">
      <c r="A36" s="23"/>
      <c r="K36" s="127"/>
      <c r="L36" s="131"/>
    </row>
    <row r="37" spans="1:12" ht="16.2" x14ac:dyDescent="0.2">
      <c r="A37" s="23"/>
      <c r="B37" s="107"/>
      <c r="K37" s="127"/>
      <c r="L37" s="131"/>
    </row>
    <row r="38" spans="1:12" x14ac:dyDescent="0.2">
      <c r="A38" s="23"/>
      <c r="B38" s="25"/>
      <c r="C38" s="22"/>
      <c r="D38" s="22"/>
      <c r="E38" s="26"/>
      <c r="F38" s="22"/>
      <c r="G38" s="22"/>
      <c r="H38" s="25"/>
      <c r="K38" s="127"/>
      <c r="L38" s="131"/>
    </row>
    <row r="39" spans="1:12" x14ac:dyDescent="0.2">
      <c r="A39" s="23"/>
      <c r="B39" s="25"/>
      <c r="C39" s="23"/>
      <c r="D39" s="22"/>
      <c r="E39" s="22"/>
      <c r="F39" s="22"/>
      <c r="G39" s="22"/>
      <c r="H39" s="23"/>
      <c r="K39" s="127"/>
      <c r="L39" s="131"/>
    </row>
    <row r="40" spans="1:12" x14ac:dyDescent="0.2">
      <c r="A40" s="23"/>
      <c r="B40" s="23"/>
      <c r="C40" s="23"/>
      <c r="D40" s="23"/>
      <c r="E40" s="129"/>
      <c r="F40" s="23"/>
      <c r="G40" s="23"/>
      <c r="H40" s="23"/>
      <c r="K40" s="127"/>
      <c r="L40" s="131"/>
    </row>
    <row r="41" spans="1:12" x14ac:dyDescent="0.2">
      <c r="A41" s="23"/>
      <c r="B41" s="23"/>
      <c r="C41" s="23"/>
      <c r="D41" s="23"/>
      <c r="E41" s="25"/>
      <c r="F41" s="25"/>
      <c r="G41" s="25"/>
      <c r="H41" s="25"/>
      <c r="K41" s="127"/>
      <c r="L41" s="131"/>
    </row>
    <row r="42" spans="1:12" x14ac:dyDescent="0.2">
      <c r="A42" s="23"/>
      <c r="B42" s="23"/>
      <c r="C42" s="23"/>
      <c r="D42" s="23"/>
      <c r="E42" s="23"/>
      <c r="F42" s="23"/>
      <c r="G42" s="130"/>
      <c r="H42" s="23"/>
    </row>
    <row r="43" spans="1:12" x14ac:dyDescent="0.2">
      <c r="A43" s="23"/>
      <c r="B43" s="23"/>
      <c r="C43" s="23"/>
      <c r="D43" s="23"/>
      <c r="E43" s="25"/>
      <c r="F43" s="23"/>
      <c r="G43" s="22"/>
      <c r="H43" s="25"/>
    </row>
    <row r="44" spans="1:12" x14ac:dyDescent="0.2">
      <c r="A44" s="23"/>
      <c r="B44" s="23"/>
      <c r="C44" s="23"/>
      <c r="D44" s="23"/>
      <c r="E44" s="25"/>
      <c r="F44" s="23"/>
      <c r="G44" s="22"/>
      <c r="H44" s="25"/>
    </row>
    <row r="45" spans="1:12" x14ac:dyDescent="0.2">
      <c r="A45" s="23"/>
      <c r="B45" s="23"/>
      <c r="C45" s="23"/>
      <c r="D45" s="23"/>
      <c r="E45" s="25"/>
      <c r="F45" s="23"/>
      <c r="G45" s="22"/>
      <c r="H45" s="25"/>
    </row>
    <row r="46" spans="1:12" x14ac:dyDescent="0.2">
      <c r="A46" s="23"/>
      <c r="B46" s="22"/>
      <c r="C46" s="22"/>
      <c r="D46" s="23"/>
      <c r="E46" s="23"/>
      <c r="F46" s="23"/>
      <c r="G46" s="23"/>
      <c r="H46" s="23"/>
    </row>
    <row r="47" spans="1:12" x14ac:dyDescent="0.2">
      <c r="A47" s="23"/>
      <c r="B47" s="127"/>
      <c r="C47" s="24"/>
      <c r="D47" s="23"/>
      <c r="E47" s="23"/>
      <c r="F47" s="23"/>
      <c r="G47" s="23"/>
      <c r="H47" s="23"/>
    </row>
    <row r="48" spans="1:12" x14ac:dyDescent="0.2">
      <c r="A48" s="23"/>
      <c r="B48" s="127"/>
      <c r="C48" s="24"/>
      <c r="D48" s="23"/>
      <c r="E48" s="23"/>
      <c r="F48" s="23"/>
      <c r="G48" s="23"/>
      <c r="H48" s="23"/>
    </row>
  </sheetData>
  <phoneticPr fontId="4"/>
  <pageMargins left="0.75" right="0.75" top="1" bottom="1" header="0.51200000000000001" footer="0.51200000000000001"/>
  <pageSetup paperSize="9" orientation="landscape" horizontalDpi="0" verticalDpi="0" r:id="rId1"/>
  <headerFooter alignWithMargins="0">
    <oddHeader>&amp;A</oddHeader>
    <oddFooter>pump.xls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showGridLines="0" zoomScale="75" workbookViewId="0">
      <selection activeCell="J14" sqref="J14"/>
    </sheetView>
  </sheetViews>
  <sheetFormatPr defaultRowHeight="13.2" x14ac:dyDescent="0.2"/>
  <cols>
    <col min="1" max="1" width="2.88671875" customWidth="1"/>
    <col min="2" max="2" width="13.44140625" customWidth="1"/>
    <col min="3" max="3" width="13.6640625" customWidth="1"/>
    <col min="4" max="4" width="15.6640625" customWidth="1"/>
    <col min="5" max="5" width="21.88671875" customWidth="1"/>
    <col min="6" max="6" width="16.33203125" customWidth="1"/>
    <col min="7" max="7" width="16" customWidth="1"/>
    <col min="8" max="8" width="13.44140625" customWidth="1"/>
    <col min="10" max="10" width="14.77734375" customWidth="1"/>
    <col min="11" max="11" width="16" customWidth="1"/>
    <col min="12" max="12" width="10.33203125" customWidth="1"/>
    <col min="13" max="13" width="16" customWidth="1"/>
  </cols>
  <sheetData>
    <row r="2" spans="2:10" ht="16.2" x14ac:dyDescent="0.2">
      <c r="B2" s="94" t="s">
        <v>0</v>
      </c>
    </row>
    <row r="3" spans="2:10" ht="16.2" x14ac:dyDescent="0.2">
      <c r="C3" s="94" t="s">
        <v>104</v>
      </c>
    </row>
    <row r="4" spans="2:10" ht="16.2" x14ac:dyDescent="0.2">
      <c r="C4" s="94"/>
    </row>
    <row r="5" spans="2:10" ht="16.2" x14ac:dyDescent="0.2">
      <c r="B5" s="94" t="s">
        <v>100</v>
      </c>
      <c r="C5" s="94"/>
    </row>
    <row r="6" spans="2:10" ht="16.2" x14ac:dyDescent="0.2">
      <c r="B6" s="94" t="s">
        <v>122</v>
      </c>
      <c r="C6" s="94"/>
    </row>
    <row r="7" spans="2:10" ht="16.2" x14ac:dyDescent="0.2">
      <c r="B7" s="107" t="s">
        <v>123</v>
      </c>
      <c r="C7" s="94"/>
    </row>
    <row r="8" spans="2:10" x14ac:dyDescent="0.2">
      <c r="C8" s="23"/>
    </row>
    <row r="9" spans="2:10" x14ac:dyDescent="0.2">
      <c r="C9" s="28" t="s">
        <v>85</v>
      </c>
      <c r="F9" s="17"/>
      <c r="G9" s="18"/>
    </row>
    <row r="10" spans="2:10" x14ac:dyDescent="0.2">
      <c r="B10" s="142"/>
      <c r="C10" s="65" t="s">
        <v>3</v>
      </c>
      <c r="F10" s="17"/>
      <c r="G10" s="18"/>
    </row>
    <row r="11" spans="2:10" x14ac:dyDescent="0.2">
      <c r="C11" s="77" t="s">
        <v>105</v>
      </c>
      <c r="F11" s="39" t="s">
        <v>87</v>
      </c>
      <c r="J11" s="10"/>
    </row>
    <row r="12" spans="2:10" x14ac:dyDescent="0.2">
      <c r="B12" s="8" t="s">
        <v>88</v>
      </c>
      <c r="C12" s="9" t="s">
        <v>7</v>
      </c>
      <c r="D12" s="9" t="s">
        <v>8</v>
      </c>
      <c r="E12" s="8" t="s">
        <v>9</v>
      </c>
      <c r="F12" s="65" t="s">
        <v>10</v>
      </c>
      <c r="G12" s="65" t="s">
        <v>11</v>
      </c>
      <c r="H12" s="8" t="s">
        <v>88</v>
      </c>
      <c r="J12" s="10"/>
    </row>
    <row r="13" spans="2:10" x14ac:dyDescent="0.2">
      <c r="B13" s="8" t="s">
        <v>89</v>
      </c>
      <c r="C13" s="1">
        <f t="shared" ref="C13:C20" si="0">40-D13</f>
        <v>40</v>
      </c>
      <c r="D13" s="1">
        <v>0</v>
      </c>
      <c r="E13" s="1">
        <v>0</v>
      </c>
      <c r="F13" s="5">
        <f>8*E13*9.6/3.14159/1.2^3/1000*1.184</f>
        <v>0</v>
      </c>
      <c r="G13" s="1">
        <v>0</v>
      </c>
      <c r="H13" s="8" t="s">
        <v>89</v>
      </c>
      <c r="J13" s="10"/>
    </row>
    <row r="14" spans="2:10" x14ac:dyDescent="0.2">
      <c r="B14" s="8"/>
      <c r="C14" s="1">
        <f t="shared" si="0"/>
        <v>35</v>
      </c>
      <c r="D14" s="1">
        <v>5</v>
      </c>
      <c r="E14" s="1">
        <v>1057</v>
      </c>
      <c r="F14" s="5">
        <f t="shared" ref="F14:F20" si="1">8*E14*9.6/3.14159/1.2^3/1000*1.184</f>
        <v>17.704948414302592</v>
      </c>
      <c r="G14" s="2">
        <f t="shared" ref="G14:G20" si="2">E14/(1.4^2*3.141592/4)/1000</f>
        <v>0.68664004019072411</v>
      </c>
      <c r="H14" s="8"/>
      <c r="J14" s="10"/>
    </row>
    <row r="15" spans="2:10" x14ac:dyDescent="0.2">
      <c r="B15" s="9"/>
      <c r="C15" s="1">
        <f t="shared" si="0"/>
        <v>30</v>
      </c>
      <c r="D15" s="1">
        <v>10</v>
      </c>
      <c r="E15" s="1">
        <v>2136</v>
      </c>
      <c r="F15" s="5">
        <f t="shared" si="1"/>
        <v>35.778400958325768</v>
      </c>
      <c r="G15" s="2">
        <f t="shared" si="2"/>
        <v>1.3875715476323429</v>
      </c>
      <c r="H15" s="8"/>
      <c r="J15" s="10"/>
    </row>
    <row r="16" spans="2:10" x14ac:dyDescent="0.2">
      <c r="B16" s="9" t="s">
        <v>19</v>
      </c>
      <c r="C16" s="75">
        <f t="shared" si="0"/>
        <v>27.1</v>
      </c>
      <c r="D16" s="75">
        <v>12.9</v>
      </c>
      <c r="E16" s="75">
        <v>2767</v>
      </c>
      <c r="F16" s="5">
        <f t="shared" si="1"/>
        <v>46.347769406220699</v>
      </c>
      <c r="G16" s="76">
        <f t="shared" si="2"/>
        <v>1.7974768128739202</v>
      </c>
      <c r="H16" s="9" t="s">
        <v>19</v>
      </c>
      <c r="J16" s="10"/>
    </row>
    <row r="17" spans="2:11" x14ac:dyDescent="0.2">
      <c r="B17" s="74"/>
      <c r="C17" s="75">
        <f t="shared" si="0"/>
        <v>25</v>
      </c>
      <c r="D17" s="75">
        <v>15</v>
      </c>
      <c r="E17" s="75">
        <v>3226</v>
      </c>
      <c r="F17" s="5">
        <f t="shared" si="1"/>
        <v>54.036105567209248</v>
      </c>
      <c r="G17" s="76">
        <f t="shared" si="2"/>
        <v>2.0956487886994095</v>
      </c>
      <c r="H17" s="74"/>
      <c r="J17" s="10"/>
    </row>
    <row r="18" spans="2:11" x14ac:dyDescent="0.2">
      <c r="B18" s="9" t="s">
        <v>23</v>
      </c>
      <c r="C18" s="75">
        <f t="shared" si="0"/>
        <v>22.6</v>
      </c>
      <c r="D18" s="75">
        <v>17.399999999999999</v>
      </c>
      <c r="E18" s="75">
        <v>3754</v>
      </c>
      <c r="F18" s="5">
        <f t="shared" si="1"/>
        <v>62.880204680503269</v>
      </c>
      <c r="G18" s="76">
        <f t="shared" si="2"/>
        <v>2.438644002720888</v>
      </c>
      <c r="H18" s="9" t="s">
        <v>23</v>
      </c>
      <c r="J18" s="10"/>
    </row>
    <row r="19" spans="2:11" x14ac:dyDescent="0.2">
      <c r="B19" s="74"/>
      <c r="C19" s="75">
        <f t="shared" si="0"/>
        <v>20</v>
      </c>
      <c r="D19" s="75">
        <v>20</v>
      </c>
      <c r="E19" s="75">
        <v>4344</v>
      </c>
      <c r="F19" s="5">
        <f t="shared" si="1"/>
        <v>72.762815432100723</v>
      </c>
      <c r="G19" s="76">
        <f t="shared" si="2"/>
        <v>2.8219151699039786</v>
      </c>
      <c r="H19" s="74"/>
      <c r="J19" s="10"/>
    </row>
    <row r="20" spans="2:11" x14ac:dyDescent="0.2">
      <c r="B20" s="9" t="s">
        <v>28</v>
      </c>
      <c r="C20" s="75">
        <f t="shared" si="0"/>
        <v>18.600000000000001</v>
      </c>
      <c r="D20" s="75">
        <v>21.4</v>
      </c>
      <c r="E20" s="75">
        <v>4656</v>
      </c>
      <c r="F20" s="5">
        <f t="shared" si="1"/>
        <v>77.9888739990472</v>
      </c>
      <c r="G20" s="76">
        <f t="shared" si="2"/>
        <v>3.0245941600075792</v>
      </c>
      <c r="H20" s="9" t="s">
        <v>28</v>
      </c>
      <c r="J20" s="10"/>
    </row>
    <row r="21" spans="2:11" x14ac:dyDescent="0.2">
      <c r="B21" s="40"/>
      <c r="C21" s="40"/>
      <c r="D21" s="40"/>
      <c r="E21" s="40"/>
      <c r="F21" s="40"/>
      <c r="G21" s="40"/>
      <c r="H21" s="40"/>
      <c r="J21" s="10"/>
    </row>
    <row r="22" spans="2:11" x14ac:dyDescent="0.2">
      <c r="B22" s="142"/>
      <c r="C22" s="77" t="s">
        <v>106</v>
      </c>
      <c r="G22" s="39"/>
    </row>
    <row r="23" spans="2:11" x14ac:dyDescent="0.2">
      <c r="C23" s="13" t="s">
        <v>107</v>
      </c>
      <c r="D23" s="14">
        <v>264.60000000000002</v>
      </c>
    </row>
    <row r="24" spans="2:11" x14ac:dyDescent="0.2">
      <c r="C24" s="7" t="s">
        <v>108</v>
      </c>
      <c r="D24" s="14">
        <v>23.11</v>
      </c>
    </row>
    <row r="25" spans="2:11" ht="13.5" customHeight="1" x14ac:dyDescent="0.2">
      <c r="C25" s="7" t="s">
        <v>109</v>
      </c>
      <c r="D25" s="14">
        <v>8.5</v>
      </c>
      <c r="F25" s="39" t="s">
        <v>87</v>
      </c>
    </row>
    <row r="26" spans="2:11" x14ac:dyDescent="0.2">
      <c r="B26" s="8" t="s">
        <v>88</v>
      </c>
      <c r="C26" s="9" t="s">
        <v>7</v>
      </c>
      <c r="D26" s="9" t="s">
        <v>8</v>
      </c>
      <c r="E26" s="65" t="s">
        <v>110</v>
      </c>
      <c r="F26" s="65" t="s">
        <v>111</v>
      </c>
      <c r="G26" s="65" t="s">
        <v>112</v>
      </c>
      <c r="H26" s="8" t="s">
        <v>88</v>
      </c>
    </row>
    <row r="27" spans="2:11" x14ac:dyDescent="0.2">
      <c r="B27" s="9" t="s">
        <v>19</v>
      </c>
      <c r="C27" s="5">
        <f>$D$24-D27</f>
        <v>18.600000000000001</v>
      </c>
      <c r="D27" s="5">
        <f>D24+D25-C16</f>
        <v>4.509999999999998</v>
      </c>
      <c r="E27" s="20">
        <f>D27*$D$23</f>
        <v>1193.3459999999995</v>
      </c>
      <c r="F27" s="5">
        <f>8*E27*7.3/3.141592/1^3/1000*1.1</f>
        <v>24.401815079743002</v>
      </c>
      <c r="G27" s="5">
        <f>E27/1.54/1000</f>
        <v>0.77489999999999959</v>
      </c>
      <c r="H27" s="9" t="s">
        <v>19</v>
      </c>
    </row>
    <row r="28" spans="2:11" x14ac:dyDescent="0.2">
      <c r="B28" s="9" t="s">
        <v>23</v>
      </c>
      <c r="C28" s="5">
        <f>$D$24-D28</f>
        <v>14.100000000000001</v>
      </c>
      <c r="D28" s="5">
        <f>D24+D25-C18</f>
        <v>9.009999999999998</v>
      </c>
      <c r="E28" s="20">
        <f>D28*$D$23</f>
        <v>2384.0459999999998</v>
      </c>
      <c r="F28" s="5">
        <f>8*E28*7.3/3.141592/1^3/1000*1.1</f>
        <v>48.749524139353547</v>
      </c>
      <c r="G28" s="5">
        <f>E28/1.54/1000</f>
        <v>1.5480818181818181</v>
      </c>
      <c r="H28" s="9" t="s">
        <v>23</v>
      </c>
    </row>
    <row r="29" spans="2:11" x14ac:dyDescent="0.2">
      <c r="B29" s="9" t="s">
        <v>28</v>
      </c>
      <c r="C29" s="5">
        <f>$D$24-D29</f>
        <v>10.100000000000001</v>
      </c>
      <c r="D29" s="5">
        <f>D24+D25-C20</f>
        <v>13.009999999999998</v>
      </c>
      <c r="E29" s="20">
        <f>D29*$D$23</f>
        <v>3442.4459999999999</v>
      </c>
      <c r="F29" s="5">
        <f>8*E29*7.3/3.141592/1^3/1000*1.1</f>
        <v>70.39193219234069</v>
      </c>
      <c r="G29" s="5">
        <f>E29/1.54/1000</f>
        <v>2.2353545454545451</v>
      </c>
      <c r="H29" s="9" t="s">
        <v>28</v>
      </c>
    </row>
    <row r="30" spans="2:11" x14ac:dyDescent="0.2">
      <c r="B30" s="12"/>
      <c r="C30" s="10"/>
      <c r="D30" s="11"/>
      <c r="E30" s="11"/>
      <c r="F30" s="11"/>
      <c r="G30" s="11"/>
    </row>
    <row r="31" spans="2:11" x14ac:dyDescent="0.2">
      <c r="C31" t="s">
        <v>113</v>
      </c>
      <c r="E31" s="77" t="s">
        <v>114</v>
      </c>
    </row>
    <row r="32" spans="2:11" x14ac:dyDescent="0.2">
      <c r="C32" t="s">
        <v>115</v>
      </c>
      <c r="F32" s="25"/>
      <c r="G32" s="65" t="s">
        <v>116</v>
      </c>
      <c r="H32" s="8" t="s">
        <v>88</v>
      </c>
      <c r="J32" s="8" t="s">
        <v>34</v>
      </c>
      <c r="K32" s="8" t="s">
        <v>117</v>
      </c>
    </row>
    <row r="33" spans="2:11" x14ac:dyDescent="0.2">
      <c r="C33" t="s">
        <v>118</v>
      </c>
      <c r="F33" s="25"/>
      <c r="G33" s="15">
        <f>G16+G27</f>
        <v>2.5723768128739199</v>
      </c>
      <c r="H33" s="9" t="s">
        <v>19</v>
      </c>
      <c r="J33" s="13">
        <v>2</v>
      </c>
      <c r="K33" s="16">
        <f t="shared" ref="K33:K41" si="3">J33*(1.4^2*3.14/4)*1000</f>
        <v>3077.2</v>
      </c>
    </row>
    <row r="34" spans="2:11" x14ac:dyDescent="0.2">
      <c r="C34" t="s">
        <v>119</v>
      </c>
      <c r="F34" s="25"/>
      <c r="G34" s="147">
        <f>G18+G28</f>
        <v>3.9867258209027061</v>
      </c>
      <c r="H34" s="9" t="s">
        <v>23</v>
      </c>
      <c r="J34" s="13">
        <v>2.5</v>
      </c>
      <c r="K34" s="16">
        <f t="shared" si="3"/>
        <v>3846.5</v>
      </c>
    </row>
    <row r="35" spans="2:11" x14ac:dyDescent="0.2">
      <c r="C35" t="s">
        <v>120</v>
      </c>
      <c r="F35" s="25"/>
      <c r="G35" s="15">
        <f>G20+G29</f>
        <v>5.2599487054621239</v>
      </c>
      <c r="H35" s="9" t="s">
        <v>28</v>
      </c>
      <c r="J35" s="13">
        <v>3</v>
      </c>
      <c r="K35" s="16">
        <f t="shared" si="3"/>
        <v>4615.8</v>
      </c>
    </row>
    <row r="36" spans="2:11" x14ac:dyDescent="0.2">
      <c r="J36" s="13">
        <v>3.5</v>
      </c>
      <c r="K36" s="16">
        <f t="shared" si="3"/>
        <v>5385.0999999999995</v>
      </c>
    </row>
    <row r="37" spans="2:11" x14ac:dyDescent="0.2">
      <c r="B37" s="11" t="s">
        <v>121</v>
      </c>
      <c r="C37" s="11"/>
      <c r="J37" s="13">
        <v>4</v>
      </c>
      <c r="K37" s="16">
        <f t="shared" si="3"/>
        <v>6154.4</v>
      </c>
    </row>
    <row r="38" spans="2:11" x14ac:dyDescent="0.2">
      <c r="B38" s="13" t="s">
        <v>107</v>
      </c>
      <c r="C38" s="14">
        <v>264.60000000000002</v>
      </c>
      <c r="J38" s="13">
        <v>4.5</v>
      </c>
      <c r="K38" s="16">
        <f t="shared" si="3"/>
        <v>6923.7</v>
      </c>
    </row>
    <row r="39" spans="2:11" x14ac:dyDescent="0.2">
      <c r="B39" s="7" t="s">
        <v>108</v>
      </c>
      <c r="C39" s="14">
        <v>23.11</v>
      </c>
      <c r="J39" s="13">
        <v>5</v>
      </c>
      <c r="K39" s="16">
        <f t="shared" si="3"/>
        <v>7693</v>
      </c>
    </row>
    <row r="40" spans="2:11" x14ac:dyDescent="0.2">
      <c r="J40" s="13">
        <v>5.5</v>
      </c>
      <c r="K40" s="16">
        <f t="shared" si="3"/>
        <v>8462.2999999999993</v>
      </c>
    </row>
    <row r="41" spans="2:11" x14ac:dyDescent="0.2">
      <c r="J41" s="13">
        <v>6</v>
      </c>
      <c r="K41" s="16">
        <f t="shared" si="3"/>
        <v>9231.6</v>
      </c>
    </row>
  </sheetData>
  <phoneticPr fontId="4"/>
  <pageMargins left="0.75" right="0.75" top="0.56000000000000005" bottom="0.54" header="0.51200000000000001" footer="0.51200000000000001"/>
  <pageSetup paperSize="9" scale="75" orientation="landscape" horizontalDpi="0" verticalDpi="0" r:id="rId1"/>
  <headerFooter alignWithMargins="0">
    <oddHeader>&amp;A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topLeftCell="A16" zoomScale="60" workbookViewId="0">
      <selection activeCell="Q37" sqref="Q37"/>
    </sheetView>
  </sheetViews>
  <sheetFormatPr defaultRowHeight="13.2" x14ac:dyDescent="0.2"/>
  <cols>
    <col min="1" max="1" width="5.33203125" customWidth="1"/>
    <col min="2" max="2" width="16.77734375" customWidth="1"/>
    <col min="3" max="3" width="11.21875" customWidth="1"/>
    <col min="4" max="4" width="17" customWidth="1"/>
    <col min="5" max="5" width="16.77734375" customWidth="1"/>
    <col min="6" max="6" width="14.88671875" customWidth="1"/>
    <col min="7" max="7" width="12.6640625" customWidth="1"/>
    <col min="8" max="8" width="14.109375" customWidth="1"/>
    <col min="9" max="9" width="13.77734375" customWidth="1"/>
    <col min="10" max="10" width="9.77734375" customWidth="1"/>
    <col min="11" max="11" width="12.44140625" customWidth="1"/>
    <col min="12" max="12" width="11.33203125" customWidth="1"/>
    <col min="13" max="13" width="13" customWidth="1"/>
    <col min="14" max="14" width="5.88671875" customWidth="1"/>
    <col min="15" max="15" width="3.77734375" customWidth="1"/>
    <col min="16" max="16" width="5.109375" customWidth="1"/>
    <col min="18" max="18" width="3.88671875" style="10" customWidth="1"/>
    <col min="19" max="19" width="5.109375" customWidth="1"/>
  </cols>
  <sheetData>
    <row r="1" spans="2:12" ht="16.2" x14ac:dyDescent="0.2">
      <c r="B1" s="94" t="s">
        <v>124</v>
      </c>
    </row>
    <row r="3" spans="2:12" ht="13.8" thickBot="1" x14ac:dyDescent="0.25">
      <c r="B3" s="55" t="s">
        <v>125</v>
      </c>
      <c r="C3" s="56"/>
      <c r="D3" s="56"/>
      <c r="E3" s="55" t="s">
        <v>126</v>
      </c>
      <c r="F3" s="55"/>
      <c r="G3" s="55"/>
      <c r="H3" s="57"/>
      <c r="I3" s="58"/>
      <c r="J3" s="58"/>
      <c r="K3" s="55"/>
      <c r="L3" s="25"/>
    </row>
    <row r="4" spans="2:12" x14ac:dyDescent="0.2">
      <c r="B4" s="59" t="s">
        <v>25</v>
      </c>
      <c r="C4" s="60" t="s">
        <v>26</v>
      </c>
      <c r="D4" s="56"/>
      <c r="E4" s="55"/>
      <c r="F4" s="55"/>
      <c r="G4" s="55"/>
      <c r="H4" s="57"/>
      <c r="I4" s="58"/>
      <c r="J4" s="58"/>
      <c r="K4" s="55"/>
      <c r="L4" s="25"/>
    </row>
    <row r="5" spans="2:12" x14ac:dyDescent="0.2">
      <c r="B5" s="61" t="s">
        <v>14</v>
      </c>
      <c r="C5" s="62">
        <v>1.2</v>
      </c>
      <c r="D5" s="55"/>
      <c r="E5" s="55"/>
      <c r="F5" s="55"/>
      <c r="G5" s="55"/>
      <c r="H5" s="55"/>
      <c r="I5" s="55" t="s">
        <v>5</v>
      </c>
      <c r="J5" s="55"/>
      <c r="K5" s="55"/>
    </row>
    <row r="6" spans="2:12" x14ac:dyDescent="0.2">
      <c r="B6" s="63" t="s">
        <v>127</v>
      </c>
      <c r="C6" s="62">
        <v>9.6</v>
      </c>
      <c r="D6" s="64"/>
      <c r="E6" s="65" t="s">
        <v>7</v>
      </c>
      <c r="F6" s="65" t="s">
        <v>8</v>
      </c>
      <c r="G6" s="65" t="s">
        <v>128</v>
      </c>
      <c r="H6" s="65" t="s">
        <v>10</v>
      </c>
      <c r="I6" s="65" t="s">
        <v>11</v>
      </c>
      <c r="J6" s="65" t="s">
        <v>12</v>
      </c>
      <c r="K6" s="65" t="s">
        <v>13</v>
      </c>
    </row>
    <row r="7" spans="2:12" x14ac:dyDescent="0.2">
      <c r="B7" s="63" t="s">
        <v>17</v>
      </c>
      <c r="C7" s="62">
        <v>11</v>
      </c>
      <c r="D7" s="55"/>
      <c r="E7" s="66">
        <f>C10</f>
        <v>40</v>
      </c>
      <c r="F7" s="67">
        <v>0</v>
      </c>
      <c r="G7" s="67">
        <v>0</v>
      </c>
      <c r="H7" s="67"/>
      <c r="I7" s="68">
        <v>0</v>
      </c>
      <c r="J7" s="67">
        <f>I7*14.2233</f>
        <v>0</v>
      </c>
      <c r="K7" s="65"/>
    </row>
    <row r="8" spans="2:12" x14ac:dyDescent="0.2">
      <c r="B8" s="63" t="s">
        <v>129</v>
      </c>
      <c r="C8" s="62">
        <v>1</v>
      </c>
      <c r="D8" s="55"/>
      <c r="E8" s="69">
        <v>27.1</v>
      </c>
      <c r="F8" s="67">
        <f>E$7-E8</f>
        <v>12.899999999999999</v>
      </c>
      <c r="G8" s="67">
        <f>F8*$C$11/9.8</f>
        <v>2.8037755102040811</v>
      </c>
      <c r="H8" s="67"/>
      <c r="I8" s="68">
        <f>G8/(1.4^2*3.141592/4)</f>
        <v>1.8213666310428553</v>
      </c>
      <c r="J8" s="67">
        <f>I8*14.2233</f>
        <v>25.905844003311845</v>
      </c>
      <c r="K8" s="65" t="s">
        <v>19</v>
      </c>
    </row>
    <row r="9" spans="2:12" x14ac:dyDescent="0.2">
      <c r="B9" s="63" t="s">
        <v>130</v>
      </c>
      <c r="C9" s="62" t="s">
        <v>21</v>
      </c>
      <c r="D9" s="55"/>
      <c r="E9" s="69">
        <v>22.6</v>
      </c>
      <c r="F9" s="67">
        <f>E$7-E9</f>
        <v>17.399999999999999</v>
      </c>
      <c r="G9" s="67">
        <f>F9*$C$11/9.8</f>
        <v>3.781836734693877</v>
      </c>
      <c r="H9" s="67"/>
      <c r="I9" s="68">
        <f>G9/(1.4^2*3.141592/4)</f>
        <v>2.4567270837322237</v>
      </c>
      <c r="J9" s="67">
        <f>I9*14.2233</f>
        <v>34.942766330048535</v>
      </c>
      <c r="K9" s="65" t="s">
        <v>23</v>
      </c>
    </row>
    <row r="10" spans="2:12" x14ac:dyDescent="0.2">
      <c r="B10" s="63" t="s">
        <v>131</v>
      </c>
      <c r="C10" s="62">
        <v>40</v>
      </c>
      <c r="D10" s="55"/>
      <c r="E10" s="69">
        <v>18.600000000000001</v>
      </c>
      <c r="F10" s="67">
        <f>E$7-E10</f>
        <v>21.4</v>
      </c>
      <c r="G10" s="67">
        <f>F10*$C$11/9.8</f>
        <v>4.6512244897959176</v>
      </c>
      <c r="H10" s="67"/>
      <c r="I10" s="68">
        <f>G10/(1.4^2*3.141592/4)</f>
        <v>3.0214919305672177</v>
      </c>
      <c r="J10" s="67">
        <f>I10*14.2233</f>
        <v>42.975586176036707</v>
      </c>
      <c r="K10" s="65" t="s">
        <v>28</v>
      </c>
    </row>
    <row r="11" spans="2:12" ht="13.8" thickBot="1" x14ac:dyDescent="0.25">
      <c r="B11" s="70" t="s">
        <v>132</v>
      </c>
      <c r="C11" s="71">
        <v>2.13</v>
      </c>
      <c r="D11" s="55"/>
      <c r="E11" s="55"/>
      <c r="F11" s="55"/>
      <c r="G11" s="55"/>
      <c r="H11" s="55"/>
      <c r="I11" s="55"/>
      <c r="J11" s="55"/>
      <c r="K11" s="55"/>
    </row>
    <row r="12" spans="2:12" x14ac:dyDescent="0.2">
      <c r="B12" s="10"/>
      <c r="C12" s="17"/>
    </row>
    <row r="13" spans="2:12" ht="13.8" thickBot="1" x14ac:dyDescent="0.25">
      <c r="B13" t="s">
        <v>133</v>
      </c>
      <c r="C13" s="10"/>
      <c r="D13" s="10"/>
      <c r="H13" s="17"/>
      <c r="I13" s="18"/>
      <c r="J13" s="18"/>
    </row>
    <row r="14" spans="2:12" x14ac:dyDescent="0.2">
      <c r="B14" s="32" t="s">
        <v>25</v>
      </c>
      <c r="C14" s="38" t="s">
        <v>134</v>
      </c>
      <c r="D14" s="10"/>
      <c r="E14" t="s">
        <v>135</v>
      </c>
      <c r="H14" s="17"/>
      <c r="I14" s="18"/>
      <c r="J14" s="18"/>
    </row>
    <row r="15" spans="2:12" x14ac:dyDescent="0.2">
      <c r="B15" s="33" t="s">
        <v>14</v>
      </c>
      <c r="C15" s="34">
        <v>1.8</v>
      </c>
      <c r="I15" t="s">
        <v>5</v>
      </c>
    </row>
    <row r="16" spans="2:12" x14ac:dyDescent="0.2">
      <c r="B16" s="35" t="s">
        <v>127</v>
      </c>
      <c r="C16" s="133">
        <v>13.2</v>
      </c>
      <c r="D16" s="124" t="s">
        <v>136</v>
      </c>
      <c r="E16" s="9" t="s">
        <v>7</v>
      </c>
      <c r="F16" s="9" t="s">
        <v>8</v>
      </c>
      <c r="G16" s="9" t="s">
        <v>128</v>
      </c>
      <c r="H16" s="9" t="s">
        <v>10</v>
      </c>
      <c r="I16" s="9" t="s">
        <v>11</v>
      </c>
      <c r="J16" s="9" t="s">
        <v>12</v>
      </c>
      <c r="K16" s="9" t="s">
        <v>13</v>
      </c>
    </row>
    <row r="17" spans="2:18" x14ac:dyDescent="0.2">
      <c r="B17" s="35" t="s">
        <v>137</v>
      </c>
      <c r="C17" s="34" t="s">
        <v>138</v>
      </c>
      <c r="E17" s="13">
        <v>36</v>
      </c>
      <c r="F17" s="5">
        <v>0</v>
      </c>
      <c r="G17" s="1">
        <v>0</v>
      </c>
      <c r="H17" s="5"/>
      <c r="I17" s="2">
        <v>0</v>
      </c>
      <c r="J17" s="5">
        <f>I17*14.2233</f>
        <v>0</v>
      </c>
      <c r="K17" s="8"/>
    </row>
    <row r="18" spans="2:18" x14ac:dyDescent="0.2">
      <c r="B18" s="35" t="s">
        <v>139</v>
      </c>
      <c r="C18" s="34" t="s">
        <v>140</v>
      </c>
      <c r="E18" s="30">
        <v>27.1</v>
      </c>
      <c r="F18" s="15">
        <f>$E$17-E18</f>
        <v>8.8999999999999986</v>
      </c>
      <c r="G18" s="30">
        <f>F18*$C$21/9.8</f>
        <v>4.4499999999999993</v>
      </c>
      <c r="H18" s="15"/>
      <c r="I18" s="31">
        <f>G18/(1.4^2*3.141592/4)</f>
        <v>2.890774057567381</v>
      </c>
      <c r="J18" s="15">
        <f>I18*14.2233</f>
        <v>41.116346652998132</v>
      </c>
      <c r="K18" s="9" t="s">
        <v>19</v>
      </c>
    </row>
    <row r="19" spans="2:18" x14ac:dyDescent="0.2">
      <c r="B19" s="35" t="s">
        <v>130</v>
      </c>
      <c r="C19" s="34" t="s">
        <v>141</v>
      </c>
      <c r="E19" s="30">
        <v>22.6</v>
      </c>
      <c r="F19" s="15">
        <f>$E$17-E19</f>
        <v>13.399999999999999</v>
      </c>
      <c r="G19" s="30">
        <f>F19*$C$21/9.8</f>
        <v>6.6999999999999993</v>
      </c>
      <c r="H19" s="15"/>
      <c r="I19" s="31">
        <f>G19/(1.4^2*3.141592/4)</f>
        <v>4.3524013900452703</v>
      </c>
      <c r="J19" s="15">
        <f>I19*14.2233</f>
        <v>61.905510691030891</v>
      </c>
      <c r="K19" s="9" t="s">
        <v>23</v>
      </c>
    </row>
    <row r="20" spans="2:18" x14ac:dyDescent="0.2">
      <c r="B20" s="35" t="s">
        <v>131</v>
      </c>
      <c r="C20" s="34">
        <v>36</v>
      </c>
      <c r="E20" s="30">
        <v>18.600000000000001</v>
      </c>
      <c r="F20" s="15">
        <f>$E$17-E20</f>
        <v>17.399999999999999</v>
      </c>
      <c r="G20" s="30">
        <f>F20*$C$21/9.8</f>
        <v>8.6999999999999993</v>
      </c>
      <c r="H20" s="15"/>
      <c r="I20" s="31">
        <f>G20/(1.4^2*3.141592/4)</f>
        <v>5.6516256855811724</v>
      </c>
      <c r="J20" s="15">
        <f>I20*14.2233</f>
        <v>80.384767613726694</v>
      </c>
      <c r="K20" s="9" t="s">
        <v>28</v>
      </c>
    </row>
    <row r="21" spans="2:18" ht="13.8" thickBot="1" x14ac:dyDescent="0.25">
      <c r="B21" s="36" t="s">
        <v>132</v>
      </c>
      <c r="C21" s="37">
        <v>4.9000000000000004</v>
      </c>
    </row>
    <row r="22" spans="2:18" x14ac:dyDescent="0.2">
      <c r="K22" s="10"/>
      <c r="R22"/>
    </row>
    <row r="23" spans="2:18" ht="13.8" thickBot="1" x14ac:dyDescent="0.25">
      <c r="B23" t="s">
        <v>142</v>
      </c>
      <c r="C23" s="10"/>
      <c r="E23" s="10"/>
      <c r="F23" s="17"/>
    </row>
    <row r="24" spans="2:18" x14ac:dyDescent="0.2">
      <c r="B24" s="32" t="s">
        <v>25</v>
      </c>
      <c r="C24" s="38" t="s">
        <v>134</v>
      </c>
      <c r="F24" s="17"/>
    </row>
    <row r="25" spans="2:18" x14ac:dyDescent="0.2">
      <c r="B25" s="33" t="s">
        <v>14</v>
      </c>
      <c r="C25" s="34">
        <v>1.4</v>
      </c>
      <c r="E25" t="s">
        <v>135</v>
      </c>
      <c r="F25" s="17"/>
    </row>
    <row r="26" spans="2:18" x14ac:dyDescent="0.2">
      <c r="B26" s="35" t="s">
        <v>127</v>
      </c>
      <c r="C26" s="34">
        <v>12</v>
      </c>
      <c r="D26" s="39"/>
      <c r="I26" s="124" t="s">
        <v>143</v>
      </c>
    </row>
    <row r="27" spans="2:18" x14ac:dyDescent="0.2">
      <c r="B27" s="35" t="s">
        <v>137</v>
      </c>
      <c r="C27" s="34" t="s">
        <v>144</v>
      </c>
      <c r="E27" s="9" t="s">
        <v>7</v>
      </c>
      <c r="F27" s="9" t="s">
        <v>8</v>
      </c>
      <c r="G27" s="9" t="s">
        <v>128</v>
      </c>
      <c r="H27" s="9" t="s">
        <v>10</v>
      </c>
      <c r="I27" s="9" t="s">
        <v>11</v>
      </c>
      <c r="J27" s="9" t="s">
        <v>12</v>
      </c>
      <c r="K27" s="9" t="s">
        <v>13</v>
      </c>
    </row>
    <row r="28" spans="2:18" x14ac:dyDescent="0.2">
      <c r="B28" s="35" t="s">
        <v>139</v>
      </c>
      <c r="C28" s="34" t="s">
        <v>140</v>
      </c>
      <c r="E28" s="13">
        <f>C30</f>
        <v>35</v>
      </c>
      <c r="F28" s="5">
        <v>0</v>
      </c>
      <c r="G28" s="1">
        <v>0</v>
      </c>
      <c r="H28" s="5"/>
      <c r="I28" s="2">
        <v>0</v>
      </c>
      <c r="J28" s="5">
        <f>I28*14.2233</f>
        <v>0</v>
      </c>
      <c r="K28" s="8"/>
    </row>
    <row r="29" spans="2:18" x14ac:dyDescent="0.2">
      <c r="B29" s="35" t="s">
        <v>130</v>
      </c>
      <c r="C29" s="34" t="s">
        <v>141</v>
      </c>
      <c r="E29" s="30">
        <v>27.1</v>
      </c>
      <c r="F29" s="15">
        <f>$E$28-E29</f>
        <v>7.8999999999999986</v>
      </c>
      <c r="G29" s="15">
        <f>F29*$C$31/9.8</f>
        <v>2.3554897959183667</v>
      </c>
      <c r="H29" s="15"/>
      <c r="I29" s="31">
        <f>G29/(1.4^2*3.141592/4)</f>
        <v>1.5301547853720225</v>
      </c>
      <c r="J29" s="15">
        <f>I29*14.2233</f>
        <v>21.76385055878189</v>
      </c>
      <c r="K29" s="9" t="s">
        <v>19</v>
      </c>
    </row>
    <row r="30" spans="2:18" x14ac:dyDescent="0.2">
      <c r="B30" s="35" t="s">
        <v>131</v>
      </c>
      <c r="C30" s="34">
        <v>35</v>
      </c>
      <c r="E30" s="30">
        <v>22.6</v>
      </c>
      <c r="F30" s="15">
        <f>$E$28-E30</f>
        <v>12.399999999999999</v>
      </c>
      <c r="G30" s="15">
        <f>F30*$C$31/9.8</f>
        <v>3.6972244897959179</v>
      </c>
      <c r="H30" s="15"/>
      <c r="I30" s="134">
        <f>G30/(1.4^2*3.141592/4)</f>
        <v>2.4017619415965927</v>
      </c>
      <c r="J30" s="15">
        <f>I30*14.2233</f>
        <v>34.160980623910817</v>
      </c>
      <c r="K30" s="9" t="s">
        <v>23</v>
      </c>
    </row>
    <row r="31" spans="2:18" ht="13.8" thickBot="1" x14ac:dyDescent="0.25">
      <c r="B31" s="36" t="s">
        <v>132</v>
      </c>
      <c r="C31" s="37">
        <v>2.9220000000000002</v>
      </c>
      <c r="E31" s="30">
        <v>18.600000000000001</v>
      </c>
      <c r="F31" s="15">
        <f>$E$28-E31</f>
        <v>16.399999999999999</v>
      </c>
      <c r="G31" s="15">
        <f>F31*$C$31/9.8</f>
        <v>4.8898775510204082</v>
      </c>
      <c r="H31" s="15"/>
      <c r="I31" s="31">
        <f>G31/(1.4^2*3.141592/4)</f>
        <v>3.176523858240655</v>
      </c>
      <c r="J31" s="15">
        <f>I31*14.2233</f>
        <v>45.180651792914311</v>
      </c>
      <c r="K31" s="9" t="s">
        <v>28</v>
      </c>
    </row>
    <row r="33" spans="2:18" ht="13.8" thickBot="1" x14ac:dyDescent="0.25">
      <c r="B33" s="41" t="s">
        <v>145</v>
      </c>
      <c r="C33" s="42"/>
      <c r="D33" s="41"/>
      <c r="E33" s="41"/>
      <c r="F33" s="41"/>
      <c r="G33" s="41"/>
      <c r="H33" s="41"/>
      <c r="I33" s="41"/>
      <c r="J33" s="41"/>
      <c r="K33" s="41"/>
    </row>
    <row r="34" spans="2:18" x14ac:dyDescent="0.2">
      <c r="B34" s="43" t="s">
        <v>25</v>
      </c>
      <c r="C34" s="44" t="s">
        <v>146</v>
      </c>
      <c r="D34" s="41"/>
      <c r="E34" s="41" t="s">
        <v>135</v>
      </c>
      <c r="F34" s="41"/>
      <c r="G34" s="41"/>
      <c r="H34" s="41"/>
      <c r="I34" s="41"/>
      <c r="J34" s="41"/>
      <c r="K34" s="41"/>
    </row>
    <row r="35" spans="2:18" x14ac:dyDescent="0.2">
      <c r="B35" s="45" t="s">
        <v>14</v>
      </c>
      <c r="C35" s="46">
        <v>1.8</v>
      </c>
      <c r="D35" s="41"/>
      <c r="E35" s="41"/>
      <c r="F35" s="41"/>
      <c r="G35" s="41"/>
      <c r="H35" s="41"/>
      <c r="I35" s="41"/>
      <c r="J35" s="41"/>
      <c r="K35" s="41"/>
    </row>
    <row r="36" spans="2:18" x14ac:dyDescent="0.2">
      <c r="B36" s="47" t="s">
        <v>127</v>
      </c>
      <c r="C36" s="46">
        <v>11.2</v>
      </c>
      <c r="D36" s="41"/>
      <c r="E36" s="41"/>
      <c r="F36" s="41"/>
      <c r="G36" s="41"/>
      <c r="H36" s="41"/>
      <c r="I36" s="41"/>
      <c r="J36" s="41"/>
      <c r="K36" s="41"/>
    </row>
    <row r="37" spans="2:18" x14ac:dyDescent="0.2">
      <c r="B37" s="47" t="s">
        <v>137</v>
      </c>
      <c r="C37" s="46" t="s">
        <v>147</v>
      </c>
      <c r="D37" s="41"/>
      <c r="E37" s="48" t="s">
        <v>7</v>
      </c>
      <c r="F37" s="48" t="s">
        <v>8</v>
      </c>
      <c r="G37" s="48" t="s">
        <v>128</v>
      </c>
      <c r="H37" s="48" t="s">
        <v>10</v>
      </c>
      <c r="I37" s="48" t="s">
        <v>11</v>
      </c>
      <c r="J37" s="48" t="s">
        <v>12</v>
      </c>
      <c r="K37" s="48" t="s">
        <v>13</v>
      </c>
    </row>
    <row r="38" spans="2:18" x14ac:dyDescent="0.2">
      <c r="B38" s="47" t="s">
        <v>139</v>
      </c>
      <c r="C38" s="46" t="s">
        <v>140</v>
      </c>
      <c r="D38" s="41"/>
      <c r="E38" s="49">
        <f>C40</f>
        <v>30</v>
      </c>
      <c r="F38" s="50">
        <v>0</v>
      </c>
      <c r="G38" s="51">
        <v>0</v>
      </c>
      <c r="H38" s="50">
        <f>8*G38*9.5/3.14159/1.2^3/1000</f>
        <v>0</v>
      </c>
      <c r="I38" s="52">
        <v>0</v>
      </c>
      <c r="J38" s="50">
        <f>I38*14.2233</f>
        <v>0</v>
      </c>
      <c r="K38" s="48"/>
    </row>
    <row r="39" spans="2:18" ht="13.8" thickBot="1" x14ac:dyDescent="0.25">
      <c r="B39" s="47" t="s">
        <v>130</v>
      </c>
      <c r="C39" s="46" t="s">
        <v>141</v>
      </c>
      <c r="D39" s="41"/>
      <c r="E39" s="51">
        <v>27.1</v>
      </c>
      <c r="F39" s="50">
        <f>$E$38-E39</f>
        <v>2.8999999999999986</v>
      </c>
      <c r="G39" s="50">
        <f>F39*$C$41/9.8</f>
        <v>2.9946938775510188</v>
      </c>
      <c r="H39" s="50">
        <v>19.399999999999999</v>
      </c>
      <c r="I39" s="101">
        <f>G39/(1.4^2*3.141592/4)</f>
        <v>1.9453895217034503</v>
      </c>
      <c r="J39" s="50">
        <f>I39*14.2233</f>
        <v>27.669858784044685</v>
      </c>
      <c r="K39" s="48" t="s">
        <v>19</v>
      </c>
    </row>
    <row r="40" spans="2:18" ht="13.8" thickBot="1" x14ac:dyDescent="0.25">
      <c r="B40" s="47" t="s">
        <v>131</v>
      </c>
      <c r="C40" s="46">
        <v>30</v>
      </c>
      <c r="D40" s="41"/>
      <c r="E40" s="51">
        <v>22.6</v>
      </c>
      <c r="F40" s="50">
        <f>$E$38-E40</f>
        <v>7.3999999999999986</v>
      </c>
      <c r="G40" s="50">
        <f>F40*$C$41/9.8</f>
        <v>7.6416326530612215</v>
      </c>
      <c r="H40" s="99">
        <v>49.2</v>
      </c>
      <c r="I40" s="149">
        <f>G40/(1.4^2*3.141592/4)</f>
        <v>4.9640974002088045</v>
      </c>
      <c r="J40" s="100">
        <f>I40*14.2233</f>
        <v>70.605846552389892</v>
      </c>
      <c r="K40" s="48" t="s">
        <v>23</v>
      </c>
      <c r="L40" s="39"/>
    </row>
    <row r="41" spans="2:18" ht="13.8" thickBot="1" x14ac:dyDescent="0.25">
      <c r="B41" s="53" t="s">
        <v>132</v>
      </c>
      <c r="C41" s="54">
        <v>10.119999999999999</v>
      </c>
      <c r="D41" s="41"/>
      <c r="E41" s="51">
        <v>18.600000000000001</v>
      </c>
      <c r="F41" s="50">
        <f>$E$38-E41</f>
        <v>11.399999999999999</v>
      </c>
      <c r="G41" s="50">
        <f>F41*$C$41/9.8</f>
        <v>11.772244897959181</v>
      </c>
      <c r="H41" s="50">
        <v>75.7</v>
      </c>
      <c r="I41" s="102">
        <f>G41/(1.4^2*3.141592/4)</f>
        <v>7.6473932922135655</v>
      </c>
      <c r="J41" s="50">
        <f>I41*14.2233</f>
        <v>108.7711690131412</v>
      </c>
      <c r="K41" s="48" t="s">
        <v>28</v>
      </c>
    </row>
    <row r="42" spans="2:18" ht="11.25" customHeight="1" x14ac:dyDescent="0.2">
      <c r="I42" s="148" t="s">
        <v>148</v>
      </c>
    </row>
    <row r="43" spans="2:18" ht="13.8" thickBot="1" x14ac:dyDescent="0.25">
      <c r="B43" s="40" t="s">
        <v>145</v>
      </c>
      <c r="C43" s="10"/>
      <c r="I43" s="148" t="s">
        <v>149</v>
      </c>
      <c r="R43"/>
    </row>
    <row r="44" spans="2:18" x14ac:dyDescent="0.2">
      <c r="B44" s="32" t="s">
        <v>25</v>
      </c>
      <c r="C44" s="38" t="s">
        <v>146</v>
      </c>
      <c r="R44"/>
    </row>
    <row r="45" spans="2:18" x14ac:dyDescent="0.2">
      <c r="B45" s="33" t="s">
        <v>14</v>
      </c>
      <c r="C45" s="34">
        <v>1.6</v>
      </c>
      <c r="E45" t="s">
        <v>135</v>
      </c>
      <c r="R45"/>
    </row>
    <row r="46" spans="2:18" x14ac:dyDescent="0.2">
      <c r="B46" s="35" t="s">
        <v>127</v>
      </c>
      <c r="C46" s="34">
        <v>11.4</v>
      </c>
      <c r="R46"/>
    </row>
    <row r="47" spans="2:18" x14ac:dyDescent="0.2">
      <c r="B47" s="35" t="s">
        <v>137</v>
      </c>
      <c r="C47" s="34" t="s">
        <v>138</v>
      </c>
      <c r="E47" s="9" t="s">
        <v>7</v>
      </c>
      <c r="F47" s="9" t="s">
        <v>8</v>
      </c>
      <c r="G47" s="9" t="s">
        <v>128</v>
      </c>
      <c r="H47" s="9" t="s">
        <v>10</v>
      </c>
      <c r="I47" s="9" t="s">
        <v>11</v>
      </c>
      <c r="J47" s="9" t="s">
        <v>12</v>
      </c>
      <c r="K47" s="9" t="s">
        <v>13</v>
      </c>
      <c r="R47"/>
    </row>
    <row r="48" spans="2:18" x14ac:dyDescent="0.2">
      <c r="B48" s="35" t="s">
        <v>139</v>
      </c>
      <c r="C48" s="34" t="s">
        <v>140</v>
      </c>
      <c r="E48" s="13">
        <f>C50</f>
        <v>40</v>
      </c>
      <c r="F48" s="5">
        <v>0</v>
      </c>
      <c r="G48" s="1">
        <v>0</v>
      </c>
      <c r="H48" s="5">
        <f>8*$G48*$C$46/3.14159/$C$45^3*1.21</f>
        <v>0</v>
      </c>
      <c r="I48" s="2">
        <v>0</v>
      </c>
      <c r="J48" s="5">
        <f>I48*14.2233</f>
        <v>0</v>
      </c>
      <c r="K48" s="8"/>
      <c r="R48"/>
    </row>
    <row r="49" spans="1:18" x14ac:dyDescent="0.2">
      <c r="B49" s="35" t="s">
        <v>130</v>
      </c>
      <c r="C49" s="34" t="s">
        <v>141</v>
      </c>
      <c r="E49" s="30">
        <v>27.1</v>
      </c>
      <c r="F49" s="15">
        <f>$E$48-E49</f>
        <v>12.899999999999999</v>
      </c>
      <c r="G49" s="15">
        <f>F49*$C$51/9.8</f>
        <v>6.107755102040815</v>
      </c>
      <c r="H49" s="5">
        <f>8*$G49*$C$46/3.14159/$C$45^3*1.21</f>
        <v>52.378417132595835</v>
      </c>
      <c r="I49" s="31">
        <f>G49/(1.4^2*3.141592/4)</f>
        <v>3.9676719098773936</v>
      </c>
      <c r="J49" s="15">
        <f>I49*14.2233</f>
        <v>56.433387875759131</v>
      </c>
      <c r="K49" s="9" t="s">
        <v>19</v>
      </c>
      <c r="R49"/>
    </row>
    <row r="50" spans="1:18" x14ac:dyDescent="0.2">
      <c r="B50" s="35" t="s">
        <v>131</v>
      </c>
      <c r="C50" s="34">
        <v>40</v>
      </c>
      <c r="E50" s="30">
        <v>22.6</v>
      </c>
      <c r="F50" s="15">
        <f>$E$48-E50</f>
        <v>17.399999999999999</v>
      </c>
      <c r="G50" s="15">
        <f>F50*$C$51/9.8</f>
        <v>8.238367346938773</v>
      </c>
      <c r="H50" s="140">
        <f>8*$G50*$C$46/3.14159/$C$45^3*1.21</f>
        <v>70.649957992803692</v>
      </c>
      <c r="I50" s="31">
        <f>G50/(1.4^2*3.141592/4)</f>
        <v>5.351743506346252</v>
      </c>
      <c r="J50" s="15">
        <f>I50*14.2233</f>
        <v>76.119453413814639</v>
      </c>
      <c r="K50" s="9" t="s">
        <v>23</v>
      </c>
    </row>
    <row r="51" spans="1:18" ht="13.8" thickBot="1" x14ac:dyDescent="0.25">
      <c r="B51" s="36" t="s">
        <v>132</v>
      </c>
      <c r="C51" s="37">
        <v>4.6399999999999997</v>
      </c>
      <c r="E51" s="30">
        <v>18.600000000000001</v>
      </c>
      <c r="F51" s="15">
        <f>$E$48-E51</f>
        <v>21.4</v>
      </c>
      <c r="G51" s="15">
        <f>F51*$C$51/9.8</f>
        <v>10.132244897959183</v>
      </c>
      <c r="H51" s="5">
        <f>8*$G51*$C$46/3.14159/$C$45^3*1.21</f>
        <v>86.891327646321798</v>
      </c>
      <c r="I51" s="31">
        <f>G51/(1.4^2*3.141592/4)</f>
        <v>6.5820293698741272</v>
      </c>
      <c r="J51" s="15">
        <f>I51*14.2233</f>
        <v>93.618178336530676</v>
      </c>
      <c r="K51" s="9" t="s">
        <v>28</v>
      </c>
      <c r="M51" s="141"/>
    </row>
    <row r="52" spans="1:18" x14ac:dyDescent="0.2">
      <c r="H52" s="124" t="s">
        <v>150</v>
      </c>
    </row>
    <row r="53" spans="1:18" x14ac:dyDescent="0.2">
      <c r="H53" s="124"/>
    </row>
    <row r="54" spans="1:18" x14ac:dyDescent="0.2">
      <c r="B54" t="s">
        <v>151</v>
      </c>
      <c r="C54" t="s">
        <v>152</v>
      </c>
    </row>
    <row r="55" spans="1:18" x14ac:dyDescent="0.2">
      <c r="C55" s="138" t="s">
        <v>153</v>
      </c>
    </row>
    <row r="56" spans="1:18" x14ac:dyDescent="0.2">
      <c r="C56" s="138" t="s">
        <v>154</v>
      </c>
      <c r="K56" t="s">
        <v>155</v>
      </c>
      <c r="L56">
        <v>750</v>
      </c>
    </row>
    <row r="57" spans="1:18" ht="13.8" x14ac:dyDescent="0.25">
      <c r="C57" s="139" t="s">
        <v>156</v>
      </c>
      <c r="K57" t="s">
        <v>157</v>
      </c>
      <c r="L57">
        <v>200</v>
      </c>
    </row>
    <row r="58" spans="1:18" ht="13.8" thickBot="1" x14ac:dyDescent="0.25">
      <c r="B58" t="s">
        <v>158</v>
      </c>
      <c r="K58" t="s">
        <v>159</v>
      </c>
      <c r="L58">
        <f>L57+L56</f>
        <v>950</v>
      </c>
    </row>
    <row r="59" spans="1:18" x14ac:dyDescent="0.2">
      <c r="A59" s="82" t="s">
        <v>160</v>
      </c>
      <c r="B59" s="83"/>
      <c r="C59" s="69">
        <v>1</v>
      </c>
      <c r="D59" s="69">
        <v>2</v>
      </c>
      <c r="E59" s="69">
        <v>3</v>
      </c>
      <c r="F59" s="108">
        <v>4</v>
      </c>
      <c r="G59" s="150">
        <v>5</v>
      </c>
      <c r="H59" s="110">
        <v>6</v>
      </c>
      <c r="I59" s="51">
        <v>7</v>
      </c>
      <c r="J59" s="51">
        <v>8</v>
      </c>
      <c r="K59" s="51">
        <v>9</v>
      </c>
      <c r="L59" s="72">
        <v>10</v>
      </c>
      <c r="M59" s="112">
        <v>20</v>
      </c>
    </row>
    <row r="60" spans="1:18" x14ac:dyDescent="0.2">
      <c r="A60" s="78" t="s">
        <v>161</v>
      </c>
      <c r="B60" s="79"/>
      <c r="C60" s="86">
        <v>560</v>
      </c>
      <c r="D60" s="86">
        <v>560</v>
      </c>
      <c r="E60" s="86">
        <v>560</v>
      </c>
      <c r="F60" s="109">
        <v>560</v>
      </c>
      <c r="G60" s="151">
        <v>310</v>
      </c>
      <c r="H60" s="111">
        <v>310</v>
      </c>
      <c r="I60" s="87">
        <v>310</v>
      </c>
      <c r="J60" s="87">
        <v>310</v>
      </c>
      <c r="K60" s="87">
        <v>310</v>
      </c>
      <c r="L60" s="88">
        <v>200</v>
      </c>
      <c r="M60" s="113">
        <v>140</v>
      </c>
    </row>
    <row r="61" spans="1:18" x14ac:dyDescent="0.2">
      <c r="A61" s="82" t="s">
        <v>162</v>
      </c>
      <c r="B61" s="83"/>
      <c r="C61" s="86">
        <f t="shared" ref="C61:M61" si="0">C60*C59</f>
        <v>560</v>
      </c>
      <c r="D61" s="86">
        <f t="shared" si="0"/>
        <v>1120</v>
      </c>
      <c r="E61" s="86">
        <f t="shared" si="0"/>
        <v>1680</v>
      </c>
      <c r="F61" s="109">
        <f t="shared" si="0"/>
        <v>2240</v>
      </c>
      <c r="G61" s="151">
        <f t="shared" si="0"/>
        <v>1550</v>
      </c>
      <c r="H61" s="111">
        <f t="shared" si="0"/>
        <v>1860</v>
      </c>
      <c r="I61" s="87">
        <f t="shared" si="0"/>
        <v>2170</v>
      </c>
      <c r="J61" s="87">
        <f t="shared" si="0"/>
        <v>2480</v>
      </c>
      <c r="K61" s="87">
        <f t="shared" si="0"/>
        <v>2790</v>
      </c>
      <c r="L61" s="88">
        <f t="shared" si="0"/>
        <v>2000</v>
      </c>
      <c r="M61" s="113">
        <f t="shared" si="0"/>
        <v>2800</v>
      </c>
    </row>
    <row r="62" spans="1:18" x14ac:dyDescent="0.2">
      <c r="A62" s="80" t="s">
        <v>163</v>
      </c>
      <c r="B62" s="81"/>
      <c r="C62" s="86">
        <f t="shared" ref="C62:M62" si="1">($L$58+C61)*1.05</f>
        <v>1585.5</v>
      </c>
      <c r="D62" s="86">
        <f t="shared" si="1"/>
        <v>2173.5</v>
      </c>
      <c r="E62" s="86">
        <f t="shared" si="1"/>
        <v>2761.5</v>
      </c>
      <c r="F62" s="109">
        <f t="shared" si="1"/>
        <v>3349.5</v>
      </c>
      <c r="G62" s="151">
        <f t="shared" si="1"/>
        <v>2625</v>
      </c>
      <c r="H62" s="111">
        <f t="shared" si="1"/>
        <v>2950.5</v>
      </c>
      <c r="I62" s="87">
        <f t="shared" si="1"/>
        <v>3276</v>
      </c>
      <c r="J62" s="87">
        <f t="shared" si="1"/>
        <v>3601.5</v>
      </c>
      <c r="K62" s="87">
        <f t="shared" si="1"/>
        <v>3927</v>
      </c>
      <c r="L62" s="88">
        <f t="shared" si="1"/>
        <v>3097.5</v>
      </c>
      <c r="M62" s="113">
        <f t="shared" si="1"/>
        <v>3937.5</v>
      </c>
    </row>
    <row r="63" spans="1:18" ht="13.8" thickBot="1" x14ac:dyDescent="0.25">
      <c r="A63" s="82" t="s">
        <v>164</v>
      </c>
      <c r="B63" s="83"/>
      <c r="C63" s="86">
        <f>C62/C59</f>
        <v>1585.5</v>
      </c>
      <c r="D63" s="86">
        <f t="shared" ref="D63:M63" si="2">D62/D59</f>
        <v>1086.75</v>
      </c>
      <c r="E63" s="86">
        <f t="shared" si="2"/>
        <v>920.5</v>
      </c>
      <c r="F63" s="109">
        <f t="shared" si="2"/>
        <v>837.375</v>
      </c>
      <c r="G63" s="152">
        <f t="shared" si="2"/>
        <v>525</v>
      </c>
      <c r="H63" s="111">
        <f t="shared" si="2"/>
        <v>491.75</v>
      </c>
      <c r="I63" s="87">
        <f t="shared" si="2"/>
        <v>468</v>
      </c>
      <c r="J63" s="87">
        <f t="shared" si="2"/>
        <v>450.1875</v>
      </c>
      <c r="K63" s="87">
        <f t="shared" si="2"/>
        <v>436.33333333333331</v>
      </c>
      <c r="L63" s="88">
        <f t="shared" si="2"/>
        <v>309.75</v>
      </c>
      <c r="M63" s="113">
        <f t="shared" si="2"/>
        <v>196.875</v>
      </c>
    </row>
  </sheetData>
  <phoneticPr fontId="4"/>
  <pageMargins left="0.75" right="0.75" top="1" bottom="1" header="0.51200000000000001" footer="0.51200000000000001"/>
  <pageSetup paperSize="9" scale="55" orientation="landscape" horizontalDpi="0" verticalDpi="0" r:id="rId1"/>
  <headerFooter alignWithMargins="0">
    <oddHeader>&amp;A</oddHead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showGridLines="0" zoomScale="75" workbookViewId="0">
      <selection activeCell="K28" sqref="K28"/>
    </sheetView>
  </sheetViews>
  <sheetFormatPr defaultRowHeight="13.2" x14ac:dyDescent="0.2"/>
  <cols>
    <col min="1" max="1" width="12.77734375" customWidth="1"/>
    <col min="2" max="2" width="14.88671875" customWidth="1"/>
    <col min="3" max="3" width="13.6640625" customWidth="1"/>
    <col min="4" max="4" width="14.109375" customWidth="1"/>
    <col min="5" max="6" width="13.77734375" customWidth="1"/>
    <col min="7" max="7" width="12.6640625" customWidth="1"/>
    <col min="8" max="8" width="12.44140625" customWidth="1"/>
    <col min="9" max="9" width="13" customWidth="1"/>
    <col min="10" max="10" width="12.88671875" customWidth="1"/>
    <col min="11" max="11" width="10.33203125" customWidth="1"/>
  </cols>
  <sheetData>
    <row r="2" spans="1:15" ht="16.2" x14ac:dyDescent="0.2">
      <c r="A2" s="94" t="s">
        <v>0</v>
      </c>
      <c r="E2" s="17"/>
      <c r="F2" s="18"/>
      <c r="G2" s="18"/>
      <c r="H2" s="23"/>
      <c r="I2" s="25"/>
      <c r="J2" s="23"/>
      <c r="K2" s="23"/>
      <c r="L2" s="23"/>
      <c r="M2" s="23"/>
      <c r="N2" s="23"/>
      <c r="O2" s="23"/>
    </row>
    <row r="3" spans="1:15" ht="16.2" x14ac:dyDescent="0.2">
      <c r="B3" s="94" t="s">
        <v>165</v>
      </c>
      <c r="E3" s="17"/>
      <c r="F3" s="18"/>
      <c r="G3" s="18"/>
      <c r="H3" s="23"/>
      <c r="I3" s="25"/>
      <c r="J3" s="23"/>
      <c r="K3" s="23"/>
      <c r="L3" s="23"/>
      <c r="M3" s="23"/>
      <c r="N3" s="23"/>
      <c r="O3" s="23"/>
    </row>
    <row r="4" spans="1:15" ht="16.2" x14ac:dyDescent="0.2">
      <c r="A4" s="94"/>
      <c r="E4" s="17"/>
      <c r="F4" s="18"/>
      <c r="G4" s="18"/>
      <c r="H4" s="23"/>
      <c r="I4" s="25"/>
      <c r="J4" s="24" t="s">
        <v>166</v>
      </c>
      <c r="K4" s="118"/>
      <c r="L4" s="23"/>
      <c r="M4" s="23"/>
      <c r="N4" s="23"/>
      <c r="O4" s="23"/>
    </row>
    <row r="5" spans="1:15" ht="16.2" x14ac:dyDescent="0.2">
      <c r="A5" s="94"/>
      <c r="E5" s="17"/>
      <c r="F5" s="18"/>
      <c r="G5" s="18"/>
      <c r="H5" s="23"/>
      <c r="I5" s="25"/>
      <c r="J5" s="1" t="s">
        <v>14</v>
      </c>
      <c r="K5" s="13">
        <v>1.8</v>
      </c>
      <c r="L5" s="23"/>
      <c r="M5" s="23"/>
      <c r="N5" s="23"/>
      <c r="O5" s="23"/>
    </row>
    <row r="6" spans="1:15" x14ac:dyDescent="0.2">
      <c r="D6" t="s">
        <v>4</v>
      </c>
      <c r="F6" t="s">
        <v>5</v>
      </c>
      <c r="H6" s="23"/>
      <c r="I6" s="23"/>
      <c r="J6" s="1" t="s">
        <v>16</v>
      </c>
      <c r="K6" s="13">
        <v>11.2</v>
      </c>
      <c r="L6" s="23"/>
      <c r="M6" s="23"/>
      <c r="N6" s="23"/>
      <c r="O6" s="23"/>
    </row>
    <row r="7" spans="1:15" x14ac:dyDescent="0.2">
      <c r="A7" s="9" t="s">
        <v>7</v>
      </c>
      <c r="B7" s="9" t="s">
        <v>8</v>
      </c>
      <c r="C7" s="9" t="s">
        <v>167</v>
      </c>
      <c r="D7" s="29" t="s">
        <v>10</v>
      </c>
      <c r="E7" s="9" t="s">
        <v>11</v>
      </c>
      <c r="F7" s="9" t="s">
        <v>12</v>
      </c>
      <c r="G7" s="9" t="s">
        <v>13</v>
      </c>
      <c r="H7" s="8" t="s">
        <v>168</v>
      </c>
      <c r="J7" s="1" t="s">
        <v>17</v>
      </c>
      <c r="K7" s="13">
        <v>7</v>
      </c>
    </row>
    <row r="8" spans="1:15" x14ac:dyDescent="0.2">
      <c r="A8" s="90" t="s">
        <v>169</v>
      </c>
      <c r="B8" s="30">
        <f>30-30</f>
        <v>0</v>
      </c>
      <c r="C8" s="30">
        <v>0</v>
      </c>
      <c r="D8" s="5">
        <f t="shared" ref="D8:D17" si="0">8*$C8*$K$6/3.14159/$K$5^3/1000*$K$13</f>
        <v>0</v>
      </c>
      <c r="E8" s="31">
        <v>0</v>
      </c>
      <c r="F8" s="15">
        <f>E8*14.2233</f>
        <v>0</v>
      </c>
      <c r="G8" s="9"/>
      <c r="H8" s="51" t="s">
        <v>170</v>
      </c>
      <c r="J8" s="1" t="s">
        <v>18</v>
      </c>
      <c r="K8" s="13">
        <v>9</v>
      </c>
    </row>
    <row r="9" spans="1:15" x14ac:dyDescent="0.2">
      <c r="A9" s="30">
        <v>28.22</v>
      </c>
      <c r="B9" s="30">
        <f t="shared" ref="B9:B17" si="1">30-A9</f>
        <v>1.7800000000000011</v>
      </c>
      <c r="C9" s="30">
        <v>2000</v>
      </c>
      <c r="D9" s="5">
        <f>8*$C9*$K$6/3.14159/$K$5^3/1000*$K$13</f>
        <v>12.152121670400236</v>
      </c>
      <c r="E9" s="31">
        <f t="shared" ref="E9:E17" si="2">C9/(1.4^2*3.141592/4)/1000</f>
        <v>1.2992242955359017</v>
      </c>
      <c r="F9" s="15">
        <f t="shared" ref="F9:F17" si="3">E9*14.2233</f>
        <v>18.479256922695789</v>
      </c>
      <c r="G9" s="9"/>
      <c r="H9" s="51" t="s">
        <v>170</v>
      </c>
      <c r="J9" s="1" t="s">
        <v>20</v>
      </c>
      <c r="K9" s="13" t="s">
        <v>21</v>
      </c>
    </row>
    <row r="10" spans="1:15" x14ac:dyDescent="0.2">
      <c r="A10" s="30">
        <v>28</v>
      </c>
      <c r="B10" s="30">
        <f t="shared" si="1"/>
        <v>2</v>
      </c>
      <c r="C10" s="30">
        <v>2231</v>
      </c>
      <c r="D10" s="5">
        <f t="shared" si="0"/>
        <v>13.55569172333146</v>
      </c>
      <c r="E10" s="31">
        <f t="shared" si="2"/>
        <v>1.4492847016702983</v>
      </c>
      <c r="F10" s="15">
        <f t="shared" si="3"/>
        <v>20.613611097267153</v>
      </c>
      <c r="G10" s="9"/>
      <c r="H10" s="51" t="s">
        <v>170</v>
      </c>
      <c r="J10" s="1" t="s">
        <v>22</v>
      </c>
      <c r="K10" s="13">
        <v>30</v>
      </c>
    </row>
    <row r="11" spans="1:15" x14ac:dyDescent="0.2">
      <c r="A11" s="3">
        <v>27.1</v>
      </c>
      <c r="B11" s="3">
        <f t="shared" si="1"/>
        <v>2.8999999999999986</v>
      </c>
      <c r="C11" s="91">
        <f>1089.7*B11+30.228</f>
        <v>3190.3579999999988</v>
      </c>
      <c r="D11" s="6">
        <f>8*$C11*$K$6/3.14159/$K$5^3/1000*$K$13</f>
        <v>19.384809294067367</v>
      </c>
      <c r="E11" s="4">
        <f t="shared" si="2"/>
        <v>2.0724953125286634</v>
      </c>
      <c r="F11" s="6">
        <f t="shared" si="3"/>
        <v>29.477722578688937</v>
      </c>
      <c r="G11" s="19" t="s">
        <v>19</v>
      </c>
      <c r="H11" s="19" t="s">
        <v>3</v>
      </c>
      <c r="J11" s="1" t="s">
        <v>25</v>
      </c>
      <c r="K11" s="13" t="s">
        <v>146</v>
      </c>
    </row>
    <row r="12" spans="1:15" x14ac:dyDescent="0.2">
      <c r="A12" s="30">
        <v>27.28</v>
      </c>
      <c r="B12" s="30">
        <f t="shared" si="1"/>
        <v>2.7199999999999989</v>
      </c>
      <c r="C12" s="30">
        <v>3000</v>
      </c>
      <c r="D12" s="5">
        <f t="shared" si="0"/>
        <v>18.228182505600355</v>
      </c>
      <c r="E12" s="31">
        <f t="shared" si="2"/>
        <v>1.9488364433038525</v>
      </c>
      <c r="F12" s="15">
        <f t="shared" si="3"/>
        <v>27.718885384043684</v>
      </c>
      <c r="G12" s="9"/>
      <c r="H12" s="51" t="s">
        <v>170</v>
      </c>
      <c r="J12" s="1" t="s">
        <v>29</v>
      </c>
      <c r="K12" s="128">
        <f>K6/K5</f>
        <v>6.2222222222222214</v>
      </c>
    </row>
    <row r="13" spans="1:15" x14ac:dyDescent="0.2">
      <c r="A13" s="30">
        <v>26.35</v>
      </c>
      <c r="B13" s="30">
        <f t="shared" si="1"/>
        <v>3.6499999999999986</v>
      </c>
      <c r="C13" s="30">
        <v>4000</v>
      </c>
      <c r="D13" s="5">
        <f t="shared" si="0"/>
        <v>24.304243340800472</v>
      </c>
      <c r="E13" s="31">
        <f t="shared" si="2"/>
        <v>2.5984485910718034</v>
      </c>
      <c r="F13" s="15">
        <f t="shared" si="3"/>
        <v>36.958513845391579</v>
      </c>
      <c r="G13" s="9"/>
      <c r="H13" s="51" t="s">
        <v>170</v>
      </c>
      <c r="J13" s="1" t="s">
        <v>30</v>
      </c>
      <c r="K13" s="128">
        <f>(4*K12-1)/(4*K12-4)+0.615/K12</f>
        <v>1.2424563069908814</v>
      </c>
    </row>
    <row r="14" spans="1:15" x14ac:dyDescent="0.2">
      <c r="A14" s="30">
        <v>25.89</v>
      </c>
      <c r="B14" s="30">
        <f t="shared" si="1"/>
        <v>4.1099999999999994</v>
      </c>
      <c r="C14" s="30">
        <v>4500</v>
      </c>
      <c r="D14" s="5">
        <f t="shared" si="0"/>
        <v>27.34227375840053</v>
      </c>
      <c r="E14" s="31">
        <f t="shared" si="2"/>
        <v>2.9232546649557789</v>
      </c>
      <c r="F14" s="15">
        <f t="shared" si="3"/>
        <v>41.578328076065532</v>
      </c>
      <c r="G14" s="9"/>
      <c r="H14" s="51" t="s">
        <v>170</v>
      </c>
    </row>
    <row r="15" spans="1:15" ht="13.8" thickBot="1" x14ac:dyDescent="0.25">
      <c r="A15" s="30">
        <v>25.44</v>
      </c>
      <c r="B15" s="30">
        <f t="shared" si="1"/>
        <v>4.5599999999999987</v>
      </c>
      <c r="C15" s="30">
        <v>4989</v>
      </c>
      <c r="D15" s="5">
        <f t="shared" si="0"/>
        <v>30.313467506813382</v>
      </c>
      <c r="E15" s="97">
        <f t="shared" si="2"/>
        <v>3.240915005214307</v>
      </c>
      <c r="F15" s="15">
        <f t="shared" si="3"/>
        <v>46.096506393664654</v>
      </c>
      <c r="G15" s="9"/>
      <c r="H15" s="51" t="s">
        <v>170</v>
      </c>
      <c r="J15" s="18" t="s">
        <v>31</v>
      </c>
      <c r="N15" s="24"/>
      <c r="O15" s="17"/>
    </row>
    <row r="16" spans="1:15" ht="13.8" thickBot="1" x14ac:dyDescent="0.25">
      <c r="A16" s="3">
        <v>22.6</v>
      </c>
      <c r="B16" s="3">
        <f t="shared" si="1"/>
        <v>7.3999999999999986</v>
      </c>
      <c r="C16" s="95">
        <f>1089.7*B16+30.228</f>
        <v>8094.0079999999989</v>
      </c>
      <c r="D16" s="6">
        <f t="shared" si="0"/>
        <v>49.179685008596429</v>
      </c>
      <c r="E16" s="137">
        <f t="shared" si="2"/>
        <v>5.2579659209309755</v>
      </c>
      <c r="F16" s="96">
        <f t="shared" si="3"/>
        <v>74.78562668317754</v>
      </c>
      <c r="G16" s="19" t="s">
        <v>23</v>
      </c>
      <c r="H16" s="19" t="s">
        <v>3</v>
      </c>
      <c r="J16" s="18" t="s">
        <v>33</v>
      </c>
      <c r="N16" s="10"/>
      <c r="O16" s="17"/>
    </row>
    <row r="17" spans="1:15" x14ac:dyDescent="0.2">
      <c r="A17" s="3">
        <v>18.600000000000001</v>
      </c>
      <c r="B17" s="3">
        <f t="shared" si="1"/>
        <v>11.399999999999999</v>
      </c>
      <c r="C17" s="91">
        <f>1089.7*B17+30.228</f>
        <v>12452.807999999997</v>
      </c>
      <c r="D17" s="6">
        <f t="shared" si="0"/>
        <v>75.664018977066675</v>
      </c>
      <c r="E17" s="98">
        <f t="shared" si="2"/>
        <v>8.0894953506219185</v>
      </c>
      <c r="F17" s="6">
        <f t="shared" si="3"/>
        <v>115.05931922050074</v>
      </c>
      <c r="G17" s="19" t="s">
        <v>171</v>
      </c>
      <c r="H17" s="19" t="s">
        <v>3</v>
      </c>
      <c r="J17" s="10" t="s">
        <v>38</v>
      </c>
      <c r="N17" s="10"/>
      <c r="O17" s="17"/>
    </row>
    <row r="18" spans="1:15" ht="16.2" x14ac:dyDescent="0.2">
      <c r="A18" s="23"/>
      <c r="B18" s="23"/>
      <c r="C18" s="23"/>
      <c r="E18" s="157" t="s">
        <v>172</v>
      </c>
      <c r="F18" s="27"/>
      <c r="G18" s="22"/>
      <c r="H18" s="25"/>
      <c r="J18" s="10" t="s">
        <v>173</v>
      </c>
      <c r="N18" s="10"/>
      <c r="O18" s="17"/>
    </row>
    <row r="19" spans="1:15" x14ac:dyDescent="0.2">
      <c r="A19" s="22" t="s">
        <v>174</v>
      </c>
      <c r="C19" s="23"/>
      <c r="F19" s="27"/>
      <c r="G19" s="22"/>
      <c r="H19" s="25"/>
      <c r="J19" s="10" t="s">
        <v>40</v>
      </c>
      <c r="L19" s="23"/>
      <c r="M19" s="23"/>
      <c r="N19" s="10"/>
      <c r="O19" s="17"/>
    </row>
    <row r="20" spans="1:15" x14ac:dyDescent="0.2">
      <c r="A20" t="s">
        <v>175</v>
      </c>
      <c r="C20" s="23"/>
      <c r="D20" s="22"/>
      <c r="G20" s="25"/>
      <c r="J20" s="23" t="s">
        <v>41</v>
      </c>
      <c r="L20" s="23"/>
      <c r="M20" s="22"/>
      <c r="N20" s="10"/>
      <c r="O20" s="17"/>
    </row>
    <row r="21" spans="1:15" x14ac:dyDescent="0.2">
      <c r="A21" s="27" t="s">
        <v>176</v>
      </c>
      <c r="C21" s="23"/>
      <c r="D21" s="22"/>
      <c r="F21" s="22"/>
      <c r="G21" s="25"/>
      <c r="L21" s="23"/>
      <c r="M21" s="22"/>
      <c r="N21" s="10"/>
      <c r="O21" s="17"/>
    </row>
    <row r="22" spans="1:15" x14ac:dyDescent="0.2">
      <c r="A22" s="23"/>
      <c r="B22" s="23"/>
      <c r="C22" s="23"/>
      <c r="D22" s="22"/>
      <c r="E22" s="27"/>
      <c r="F22" s="22"/>
      <c r="G22" s="25"/>
      <c r="L22" s="23"/>
      <c r="M22" s="23"/>
      <c r="N22" s="10"/>
      <c r="O22" s="17"/>
    </row>
    <row r="23" spans="1:15" x14ac:dyDescent="0.2">
      <c r="L23" s="23"/>
      <c r="M23" s="23"/>
      <c r="N23" s="10"/>
      <c r="O23" s="143"/>
    </row>
    <row r="24" spans="1:15" x14ac:dyDescent="0.2">
      <c r="C24" s="23"/>
      <c r="D24" s="23"/>
      <c r="E24" s="23"/>
      <c r="F24" s="23"/>
      <c r="G24" s="10"/>
      <c r="H24" s="10"/>
      <c r="I24" s="21"/>
      <c r="L24" s="23"/>
      <c r="M24" s="23"/>
      <c r="N24" s="10"/>
      <c r="O24" s="143"/>
    </row>
    <row r="25" spans="1:15" x14ac:dyDescent="0.2">
      <c r="C25" s="23"/>
      <c r="D25" s="23"/>
      <c r="E25" s="23"/>
      <c r="F25" s="23"/>
      <c r="G25" s="10"/>
      <c r="H25" s="10"/>
      <c r="I25" s="10"/>
      <c r="L25" s="23"/>
      <c r="M25" s="23"/>
      <c r="N25" s="127"/>
      <c r="O25" s="23"/>
    </row>
    <row r="26" spans="1:15" x14ac:dyDescent="0.2">
      <c r="C26" s="25"/>
      <c r="D26" s="25"/>
      <c r="E26" s="25"/>
      <c r="F26" s="25"/>
      <c r="G26" s="12"/>
      <c r="H26" s="10"/>
      <c r="I26" s="10"/>
      <c r="L26" s="23"/>
      <c r="M26" s="23"/>
      <c r="N26" s="127"/>
      <c r="O26" s="23"/>
    </row>
    <row r="27" spans="1:15" x14ac:dyDescent="0.2">
      <c r="C27" s="26"/>
      <c r="D27" s="22"/>
      <c r="E27" s="27"/>
      <c r="F27" s="27"/>
      <c r="G27" s="12"/>
      <c r="H27" s="10"/>
      <c r="I27" s="21"/>
      <c r="L27" s="23"/>
      <c r="M27" s="23"/>
      <c r="N27" s="127"/>
      <c r="O27" s="23"/>
    </row>
    <row r="28" spans="1:15" x14ac:dyDescent="0.2">
      <c r="C28" s="26"/>
      <c r="D28" s="22"/>
      <c r="E28" s="27"/>
      <c r="F28" s="27"/>
      <c r="G28" s="12"/>
      <c r="H28" s="10"/>
      <c r="I28" s="10"/>
      <c r="L28" s="23"/>
      <c r="M28" s="23"/>
      <c r="N28" s="23"/>
      <c r="O28" s="23"/>
    </row>
    <row r="29" spans="1:15" x14ac:dyDescent="0.2">
      <c r="C29" s="26"/>
      <c r="D29" s="22"/>
      <c r="E29" s="27"/>
      <c r="F29" s="27"/>
      <c r="G29" s="12"/>
      <c r="H29" s="10"/>
      <c r="I29" s="10"/>
      <c r="L29" s="23"/>
      <c r="M29" s="23"/>
      <c r="N29" s="23"/>
      <c r="O29" s="23"/>
    </row>
    <row r="30" spans="1:15" x14ac:dyDescent="0.2">
      <c r="C30" s="22"/>
      <c r="D30" s="22"/>
      <c r="E30" s="22"/>
      <c r="F30" s="22"/>
      <c r="G30" s="12"/>
      <c r="L30" s="23"/>
      <c r="M30" s="23"/>
      <c r="N30" s="23"/>
      <c r="O30" s="23"/>
    </row>
    <row r="31" spans="1:15" x14ac:dyDescent="0.2">
      <c r="C31" s="23"/>
      <c r="D31" s="23"/>
      <c r="E31" s="23"/>
      <c r="F31" s="23"/>
      <c r="G31" s="10"/>
      <c r="L31" s="23"/>
      <c r="M31" s="23"/>
      <c r="N31" s="23"/>
      <c r="O31" s="23"/>
    </row>
    <row r="32" spans="1:15" x14ac:dyDescent="0.2">
      <c r="C32" s="23"/>
      <c r="D32" s="23"/>
      <c r="E32" s="23"/>
      <c r="F32" s="23"/>
      <c r="G32" s="10"/>
      <c r="L32" s="23"/>
      <c r="M32" s="23"/>
      <c r="N32" s="23"/>
      <c r="O32" s="23"/>
    </row>
    <row r="33" spans="1:7" x14ac:dyDescent="0.2">
      <c r="C33" s="23"/>
      <c r="D33" s="23"/>
      <c r="E33" s="23"/>
      <c r="F33" s="23"/>
      <c r="G33" s="10"/>
    </row>
    <row r="34" spans="1:7" ht="13.5" customHeight="1" x14ac:dyDescent="0.2">
      <c r="A34" s="17"/>
      <c r="B34" s="24"/>
      <c r="C34" s="23"/>
      <c r="D34" s="23"/>
      <c r="E34" s="23"/>
      <c r="F34" s="23"/>
      <c r="G34" s="10"/>
    </row>
    <row r="35" spans="1:7" x14ac:dyDescent="0.2">
      <c r="A35" s="12"/>
      <c r="B35" s="25"/>
      <c r="C35" s="25"/>
      <c r="D35" s="25"/>
      <c r="E35" s="25"/>
      <c r="F35" s="25"/>
      <c r="G35" s="12"/>
    </row>
    <row r="36" spans="1:7" x14ac:dyDescent="0.2">
      <c r="A36" s="11"/>
      <c r="B36" s="22"/>
      <c r="C36" s="26"/>
      <c r="D36" s="22"/>
      <c r="E36" s="22"/>
      <c r="F36" s="22"/>
      <c r="G36" s="12"/>
    </row>
    <row r="42" spans="1:7" ht="16.2" x14ac:dyDescent="0.2">
      <c r="C42" s="94"/>
    </row>
    <row r="43" spans="1:7" ht="16.2" x14ac:dyDescent="0.2">
      <c r="D43" s="94"/>
    </row>
  </sheetData>
  <phoneticPr fontId="4"/>
  <pageMargins left="0.75" right="0.75" top="0.56000000000000005" bottom="0.36" header="0.51200000000000001" footer="0.27"/>
  <pageSetup paperSize="9" scale="80" orientation="landscape" horizontalDpi="0" verticalDpi="0" r:id="rId1"/>
  <headerFooter alignWithMargins="0">
    <oddHeader>&amp;A</oddHead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showGridLines="0" zoomScale="75" workbookViewId="0">
      <selection activeCell="C44" sqref="C44"/>
    </sheetView>
  </sheetViews>
  <sheetFormatPr defaultRowHeight="13.2" x14ac:dyDescent="0.2"/>
  <cols>
    <col min="1" max="1" width="3.6640625" customWidth="1"/>
    <col min="2" max="2" width="35.44140625" customWidth="1"/>
    <col min="3" max="3" width="66" customWidth="1"/>
    <col min="4" max="4" width="74.33203125" customWidth="1"/>
  </cols>
  <sheetData>
    <row r="3" spans="1:4" ht="14.4" x14ac:dyDescent="0.2">
      <c r="B3" s="125" t="s">
        <v>177</v>
      </c>
    </row>
    <row r="4" spans="1:4" x14ac:dyDescent="0.2">
      <c r="A4" s="1"/>
      <c r="B4" s="8" t="s">
        <v>178</v>
      </c>
      <c r="C4" s="8" t="s">
        <v>179</v>
      </c>
      <c r="D4" s="8" t="s">
        <v>180</v>
      </c>
    </row>
    <row r="5" spans="1:4" x14ac:dyDescent="0.2">
      <c r="A5" s="1">
        <v>1</v>
      </c>
      <c r="B5" s="1" t="s">
        <v>181</v>
      </c>
      <c r="C5" s="1" t="s">
        <v>182</v>
      </c>
      <c r="D5" s="1" t="s">
        <v>183</v>
      </c>
    </row>
    <row r="6" spans="1:4" x14ac:dyDescent="0.2">
      <c r="A6" s="1">
        <f>A5+1</f>
        <v>2</v>
      </c>
      <c r="B6" s="1" t="s">
        <v>184</v>
      </c>
      <c r="C6" s="1" t="s">
        <v>185</v>
      </c>
      <c r="D6" s="1" t="s">
        <v>186</v>
      </c>
    </row>
    <row r="7" spans="1:4" x14ac:dyDescent="0.2">
      <c r="A7" s="1">
        <f>A6+1</f>
        <v>3</v>
      </c>
      <c r="B7" s="1" t="s">
        <v>187</v>
      </c>
      <c r="C7" s="1" t="s">
        <v>188</v>
      </c>
      <c r="D7" s="1" t="s">
        <v>189</v>
      </c>
    </row>
    <row r="8" spans="1:4" x14ac:dyDescent="0.2">
      <c r="A8" s="1">
        <f>A7+1</f>
        <v>4</v>
      </c>
      <c r="B8" s="1" t="s">
        <v>190</v>
      </c>
      <c r="C8" s="1" t="s">
        <v>191</v>
      </c>
      <c r="D8" s="1" t="s">
        <v>192</v>
      </c>
    </row>
    <row r="12" spans="1:4" ht="14.4" x14ac:dyDescent="0.2">
      <c r="B12" s="125" t="s">
        <v>193</v>
      </c>
      <c r="D12" s="10"/>
    </row>
    <row r="13" spans="1:4" x14ac:dyDescent="0.2">
      <c r="A13" s="1"/>
      <c r="B13" s="8" t="s">
        <v>194</v>
      </c>
      <c r="C13" s="8" t="s">
        <v>195</v>
      </c>
      <c r="D13" s="8" t="s">
        <v>196</v>
      </c>
    </row>
    <row r="14" spans="1:4" x14ac:dyDescent="0.2">
      <c r="A14" s="1">
        <v>1</v>
      </c>
      <c r="B14" s="1" t="s">
        <v>197</v>
      </c>
      <c r="C14" s="1" t="s">
        <v>198</v>
      </c>
      <c r="D14" s="1" t="s">
        <v>199</v>
      </c>
    </row>
    <row r="15" spans="1:4" x14ac:dyDescent="0.2">
      <c r="A15" s="1">
        <f>A14+1</f>
        <v>2</v>
      </c>
      <c r="B15" s="1" t="s">
        <v>200</v>
      </c>
      <c r="C15" s="1" t="s">
        <v>201</v>
      </c>
      <c r="D15" s="1" t="s">
        <v>202</v>
      </c>
    </row>
    <row r="16" spans="1:4" x14ac:dyDescent="0.2">
      <c r="A16" s="114">
        <f>A15+1</f>
        <v>3</v>
      </c>
      <c r="B16" s="114" t="s">
        <v>203</v>
      </c>
      <c r="C16" s="114" t="s">
        <v>204</v>
      </c>
      <c r="D16" s="114"/>
    </row>
    <row r="17" spans="1:4" ht="26.4" x14ac:dyDescent="0.2">
      <c r="A17" s="1">
        <f>A16+1</f>
        <v>4</v>
      </c>
      <c r="B17" s="121" t="s">
        <v>205</v>
      </c>
      <c r="C17" s="122" t="s">
        <v>206</v>
      </c>
      <c r="D17" s="123" t="s">
        <v>207</v>
      </c>
    </row>
    <row r="18" spans="1:4" x14ac:dyDescent="0.2">
      <c r="A18" s="116"/>
      <c r="B18" s="10"/>
      <c r="C18" s="126" t="s">
        <v>208</v>
      </c>
      <c r="D18" s="79"/>
    </row>
    <row r="19" spans="1:4" x14ac:dyDescent="0.2">
      <c r="A19" s="116"/>
      <c r="B19" s="10"/>
      <c r="C19" s="126" t="s">
        <v>209</v>
      </c>
      <c r="D19" s="79"/>
    </row>
    <row r="20" spans="1:4" x14ac:dyDescent="0.2">
      <c r="A20" s="116"/>
      <c r="B20" s="10"/>
      <c r="C20" s="126" t="s">
        <v>212</v>
      </c>
      <c r="D20" s="79" t="s">
        <v>210</v>
      </c>
    </row>
    <row r="21" spans="1:4" x14ac:dyDescent="0.2">
      <c r="A21" s="116"/>
      <c r="B21" s="10"/>
      <c r="C21" s="116"/>
      <c r="D21" s="79"/>
    </row>
    <row r="22" spans="1:4" x14ac:dyDescent="0.2">
      <c r="A22" s="116"/>
      <c r="B22" s="10"/>
      <c r="C22" s="116"/>
      <c r="D22" s="79"/>
    </row>
    <row r="23" spans="1:4" x14ac:dyDescent="0.2">
      <c r="A23" s="116"/>
      <c r="B23" s="10"/>
      <c r="C23" s="116"/>
      <c r="D23" s="79"/>
    </row>
    <row r="24" spans="1:4" x14ac:dyDescent="0.2">
      <c r="A24" s="116"/>
      <c r="B24" s="10"/>
      <c r="C24" s="116"/>
      <c r="D24" s="79"/>
    </row>
    <row r="25" spans="1:4" x14ac:dyDescent="0.2">
      <c r="A25" s="116"/>
      <c r="B25" s="10"/>
      <c r="C25" s="116"/>
      <c r="D25" s="79"/>
    </row>
    <row r="26" spans="1:4" x14ac:dyDescent="0.2">
      <c r="A26" s="116"/>
      <c r="B26" s="10"/>
      <c r="C26" s="116"/>
      <c r="D26" s="79"/>
    </row>
    <row r="27" spans="1:4" x14ac:dyDescent="0.2">
      <c r="A27" s="117"/>
      <c r="B27" s="115"/>
      <c r="C27" s="117"/>
      <c r="D27" s="81"/>
    </row>
  </sheetData>
  <phoneticPr fontId="4"/>
  <pageMargins left="0.75" right="0.75" top="1" bottom="1" header="0.51200000000000001" footer="0.51200000000000001"/>
  <pageSetup paperSize="9" scale="70" orientation="landscape" horizontalDpi="0" verticalDpi="0" r:id="rId1"/>
  <headerFooter alignWithMargins="0">
    <oddHeader>&amp;A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6"/>
  <sheetViews>
    <sheetView topLeftCell="A28" zoomScale="85" workbookViewId="0">
      <selection activeCell="M49" sqref="M49"/>
    </sheetView>
  </sheetViews>
  <sheetFormatPr defaultRowHeight="13.2" x14ac:dyDescent="0.2"/>
  <sheetData>
    <row r="1" spans="2:8" x14ac:dyDescent="0.2">
      <c r="B1" s="118" t="s">
        <v>211</v>
      </c>
      <c r="C1" s="135">
        <v>25.4</v>
      </c>
    </row>
    <row r="3" spans="2:8" x14ac:dyDescent="0.2">
      <c r="C3">
        <v>2</v>
      </c>
      <c r="D3">
        <f>C3*2</f>
        <v>4</v>
      </c>
      <c r="E3">
        <f>D3*2</f>
        <v>8</v>
      </c>
      <c r="F3">
        <f>E3*2</f>
        <v>16</v>
      </c>
      <c r="G3">
        <f>F3*2</f>
        <v>32</v>
      </c>
      <c r="H3">
        <f>G3*2</f>
        <v>64</v>
      </c>
    </row>
    <row r="4" spans="2:8" x14ac:dyDescent="0.2">
      <c r="B4">
        <f>B3+1</f>
        <v>1</v>
      </c>
      <c r="C4" s="119">
        <f t="shared" ref="C4:H4" si="0">$C$1/C$3*$B4</f>
        <v>12.7</v>
      </c>
      <c r="D4" s="119">
        <f t="shared" si="0"/>
        <v>6.35</v>
      </c>
      <c r="E4" s="119">
        <f t="shared" si="0"/>
        <v>3.1749999999999998</v>
      </c>
      <c r="F4" s="119">
        <f t="shared" si="0"/>
        <v>1.5874999999999999</v>
      </c>
      <c r="G4" s="119">
        <f t="shared" si="0"/>
        <v>0.79374999999999996</v>
      </c>
      <c r="H4" s="119">
        <f t="shared" si="0"/>
        <v>0.39687499999999998</v>
      </c>
    </row>
    <row r="5" spans="2:8" x14ac:dyDescent="0.2">
      <c r="B5">
        <f t="shared" ref="B5:B66" si="1">B4+1</f>
        <v>2</v>
      </c>
      <c r="C5" s="119"/>
      <c r="D5" s="119">
        <f t="shared" ref="D5:H6" si="2">$C$1/D$3*$B5</f>
        <v>12.7</v>
      </c>
      <c r="E5" s="120">
        <f t="shared" si="2"/>
        <v>6.35</v>
      </c>
      <c r="F5" s="120">
        <f t="shared" si="2"/>
        <v>3.1749999999999998</v>
      </c>
      <c r="G5" s="120">
        <f t="shared" si="2"/>
        <v>1.5874999999999999</v>
      </c>
      <c r="H5" s="120">
        <f t="shared" si="2"/>
        <v>0.79374999999999996</v>
      </c>
    </row>
    <row r="6" spans="2:8" x14ac:dyDescent="0.2">
      <c r="B6">
        <f t="shared" si="1"/>
        <v>3</v>
      </c>
      <c r="C6" s="119"/>
      <c r="D6" s="119">
        <f t="shared" si="2"/>
        <v>19.049999999999997</v>
      </c>
      <c r="E6" s="119">
        <f t="shared" si="2"/>
        <v>9.5249999999999986</v>
      </c>
      <c r="F6" s="119">
        <f t="shared" si="2"/>
        <v>4.7624999999999993</v>
      </c>
      <c r="G6" s="119">
        <f t="shared" si="2"/>
        <v>2.3812499999999996</v>
      </c>
      <c r="H6" s="119">
        <f t="shared" si="2"/>
        <v>1.1906249999999998</v>
      </c>
    </row>
    <row r="7" spans="2:8" x14ac:dyDescent="0.2">
      <c r="B7">
        <f t="shared" si="1"/>
        <v>4</v>
      </c>
      <c r="C7" s="119"/>
      <c r="D7" s="119"/>
      <c r="E7" s="120">
        <f t="shared" ref="E7:H10" si="3">$C$1/E$3*$B7</f>
        <v>12.7</v>
      </c>
      <c r="F7" s="120">
        <f t="shared" si="3"/>
        <v>6.35</v>
      </c>
      <c r="G7" s="120">
        <f t="shared" si="3"/>
        <v>3.1749999999999998</v>
      </c>
      <c r="H7" s="120">
        <f t="shared" si="3"/>
        <v>1.5874999999999999</v>
      </c>
    </row>
    <row r="8" spans="2:8" x14ac:dyDescent="0.2">
      <c r="B8">
        <f t="shared" si="1"/>
        <v>5</v>
      </c>
      <c r="C8" s="119"/>
      <c r="D8" s="119"/>
      <c r="E8" s="119">
        <f t="shared" si="3"/>
        <v>15.875</v>
      </c>
      <c r="F8" s="119">
        <f t="shared" si="3"/>
        <v>7.9375</v>
      </c>
      <c r="G8" s="119">
        <f t="shared" si="3"/>
        <v>3.96875</v>
      </c>
      <c r="H8" s="119">
        <f t="shared" si="3"/>
        <v>1.984375</v>
      </c>
    </row>
    <row r="9" spans="2:8" x14ac:dyDescent="0.2">
      <c r="B9">
        <f t="shared" si="1"/>
        <v>6</v>
      </c>
      <c r="C9" s="119"/>
      <c r="D9" s="119"/>
      <c r="E9" s="120">
        <f t="shared" si="3"/>
        <v>19.049999999999997</v>
      </c>
      <c r="F9" s="120">
        <f t="shared" si="3"/>
        <v>9.5249999999999986</v>
      </c>
      <c r="G9" s="120">
        <f t="shared" si="3"/>
        <v>4.7624999999999993</v>
      </c>
      <c r="H9" s="120">
        <f t="shared" si="3"/>
        <v>2.3812499999999996</v>
      </c>
    </row>
    <row r="10" spans="2:8" x14ac:dyDescent="0.2">
      <c r="B10">
        <f t="shared" si="1"/>
        <v>7</v>
      </c>
      <c r="C10" s="119"/>
      <c r="D10" s="119"/>
      <c r="E10" s="119">
        <f t="shared" si="3"/>
        <v>22.224999999999998</v>
      </c>
      <c r="F10" s="119">
        <f t="shared" si="3"/>
        <v>11.112499999999999</v>
      </c>
      <c r="G10" s="119">
        <f t="shared" si="3"/>
        <v>5.5562499999999995</v>
      </c>
      <c r="H10" s="119">
        <f t="shared" si="3"/>
        <v>2.7781249999999997</v>
      </c>
    </row>
    <row r="11" spans="2:8" x14ac:dyDescent="0.2">
      <c r="B11">
        <f t="shared" si="1"/>
        <v>8</v>
      </c>
      <c r="C11" s="119"/>
      <c r="D11" s="119"/>
      <c r="E11" s="119"/>
      <c r="F11" s="120">
        <f t="shared" ref="F11:H18" si="4">$C$1/F$3*$B11</f>
        <v>12.7</v>
      </c>
      <c r="G11" s="120">
        <f t="shared" si="4"/>
        <v>6.35</v>
      </c>
      <c r="H11" s="120">
        <f t="shared" si="4"/>
        <v>3.1749999999999998</v>
      </c>
    </row>
    <row r="12" spans="2:8" x14ac:dyDescent="0.2">
      <c r="B12">
        <f t="shared" si="1"/>
        <v>9</v>
      </c>
      <c r="C12" s="119"/>
      <c r="D12" s="119"/>
      <c r="E12" s="119"/>
      <c r="F12" s="119">
        <f t="shared" si="4"/>
        <v>14.2875</v>
      </c>
      <c r="G12" s="119">
        <f t="shared" si="4"/>
        <v>7.1437499999999998</v>
      </c>
      <c r="H12" s="119">
        <f t="shared" si="4"/>
        <v>3.5718749999999999</v>
      </c>
    </row>
    <row r="13" spans="2:8" x14ac:dyDescent="0.2">
      <c r="B13">
        <f t="shared" si="1"/>
        <v>10</v>
      </c>
      <c r="C13" s="119"/>
      <c r="D13" s="119"/>
      <c r="E13" s="119"/>
      <c r="F13" s="120">
        <f t="shared" si="4"/>
        <v>15.875</v>
      </c>
      <c r="G13" s="120">
        <f t="shared" si="4"/>
        <v>7.9375</v>
      </c>
      <c r="H13" s="120">
        <f t="shared" si="4"/>
        <v>3.96875</v>
      </c>
    </row>
    <row r="14" spans="2:8" x14ac:dyDescent="0.2">
      <c r="B14">
        <f t="shared" si="1"/>
        <v>11</v>
      </c>
      <c r="C14" s="119"/>
      <c r="D14" s="119"/>
      <c r="E14" s="119"/>
      <c r="F14" s="119">
        <f t="shared" si="4"/>
        <v>17.462499999999999</v>
      </c>
      <c r="G14" s="119">
        <f t="shared" si="4"/>
        <v>8.7312499999999993</v>
      </c>
      <c r="H14" s="119">
        <f t="shared" si="4"/>
        <v>4.3656249999999996</v>
      </c>
    </row>
    <row r="15" spans="2:8" x14ac:dyDescent="0.2">
      <c r="B15">
        <f t="shared" si="1"/>
        <v>12</v>
      </c>
      <c r="C15" s="119"/>
      <c r="D15" s="119"/>
      <c r="E15" s="119"/>
      <c r="F15" s="120">
        <f t="shared" si="4"/>
        <v>19.049999999999997</v>
      </c>
      <c r="G15" s="120">
        <f t="shared" si="4"/>
        <v>9.5249999999999986</v>
      </c>
      <c r="H15" s="120">
        <f t="shared" si="4"/>
        <v>4.7624999999999993</v>
      </c>
    </row>
    <row r="16" spans="2:8" x14ac:dyDescent="0.2">
      <c r="B16">
        <f t="shared" si="1"/>
        <v>13</v>
      </c>
      <c r="C16" s="119"/>
      <c r="D16" s="119"/>
      <c r="E16" s="119"/>
      <c r="F16" s="119">
        <f t="shared" si="4"/>
        <v>20.637499999999999</v>
      </c>
      <c r="G16" s="119">
        <f t="shared" si="4"/>
        <v>10.31875</v>
      </c>
      <c r="H16" s="119">
        <f t="shared" si="4"/>
        <v>5.1593749999999998</v>
      </c>
    </row>
    <row r="17" spans="2:8" x14ac:dyDescent="0.2">
      <c r="B17">
        <f t="shared" si="1"/>
        <v>14</v>
      </c>
      <c r="C17" s="119"/>
      <c r="D17" s="119"/>
      <c r="E17" s="119"/>
      <c r="F17" s="120">
        <f t="shared" si="4"/>
        <v>22.224999999999998</v>
      </c>
      <c r="G17" s="120">
        <f t="shared" si="4"/>
        <v>11.112499999999999</v>
      </c>
      <c r="H17" s="120">
        <f t="shared" si="4"/>
        <v>5.5562499999999995</v>
      </c>
    </row>
    <row r="18" spans="2:8" x14ac:dyDescent="0.2">
      <c r="B18">
        <f t="shared" si="1"/>
        <v>15</v>
      </c>
      <c r="C18" s="119"/>
      <c r="D18" s="119"/>
      <c r="E18" s="119"/>
      <c r="F18" s="119">
        <f t="shared" si="4"/>
        <v>23.8125</v>
      </c>
      <c r="G18" s="119">
        <f t="shared" si="4"/>
        <v>11.90625</v>
      </c>
      <c r="H18" s="119">
        <f t="shared" si="4"/>
        <v>5.953125</v>
      </c>
    </row>
    <row r="19" spans="2:8" x14ac:dyDescent="0.2">
      <c r="B19">
        <f t="shared" si="1"/>
        <v>16</v>
      </c>
      <c r="C19" s="119"/>
      <c r="D19" s="119"/>
      <c r="E19" s="119"/>
      <c r="F19" s="119"/>
      <c r="G19" s="120">
        <f t="shared" ref="G19:H34" si="5">$C$1/G$3*$B19</f>
        <v>12.7</v>
      </c>
      <c r="H19" s="120">
        <f t="shared" si="5"/>
        <v>6.35</v>
      </c>
    </row>
    <row r="20" spans="2:8" x14ac:dyDescent="0.2">
      <c r="B20">
        <f t="shared" si="1"/>
        <v>17</v>
      </c>
      <c r="C20" s="119"/>
      <c r="D20" s="119"/>
      <c r="E20" s="119"/>
      <c r="F20" s="119"/>
      <c r="G20" s="119">
        <f t="shared" si="5"/>
        <v>13.493749999999999</v>
      </c>
      <c r="H20" s="119">
        <f t="shared" si="5"/>
        <v>6.7468749999999993</v>
      </c>
    </row>
    <row r="21" spans="2:8" x14ac:dyDescent="0.2">
      <c r="B21">
        <f t="shared" si="1"/>
        <v>18</v>
      </c>
      <c r="C21" s="119"/>
      <c r="D21" s="119"/>
      <c r="E21" s="119"/>
      <c r="F21" s="119"/>
      <c r="G21" s="120">
        <f t="shared" si="5"/>
        <v>14.2875</v>
      </c>
      <c r="H21" s="120">
        <f t="shared" si="5"/>
        <v>7.1437499999999998</v>
      </c>
    </row>
    <row r="22" spans="2:8" x14ac:dyDescent="0.2">
      <c r="B22">
        <f t="shared" si="1"/>
        <v>19</v>
      </c>
      <c r="C22" s="119"/>
      <c r="D22" s="119"/>
      <c r="E22" s="119"/>
      <c r="F22" s="119"/>
      <c r="G22" s="119">
        <f t="shared" si="5"/>
        <v>15.081249999999999</v>
      </c>
      <c r="H22" s="119">
        <f t="shared" si="5"/>
        <v>7.5406249999999995</v>
      </c>
    </row>
    <row r="23" spans="2:8" x14ac:dyDescent="0.2">
      <c r="B23">
        <f t="shared" si="1"/>
        <v>20</v>
      </c>
      <c r="C23" s="119"/>
      <c r="D23" s="119"/>
      <c r="E23" s="119"/>
      <c r="F23" s="119"/>
      <c r="G23" s="120">
        <f t="shared" si="5"/>
        <v>15.875</v>
      </c>
      <c r="H23" s="120">
        <f t="shared" si="5"/>
        <v>7.9375</v>
      </c>
    </row>
    <row r="24" spans="2:8" x14ac:dyDescent="0.2">
      <c r="B24">
        <f t="shared" si="1"/>
        <v>21</v>
      </c>
      <c r="C24" s="119"/>
      <c r="D24" s="119"/>
      <c r="E24" s="119"/>
      <c r="F24" s="119"/>
      <c r="G24" s="119">
        <f t="shared" si="5"/>
        <v>16.668749999999999</v>
      </c>
      <c r="H24" s="119">
        <f t="shared" si="5"/>
        <v>8.3343749999999996</v>
      </c>
    </row>
    <row r="25" spans="2:8" x14ac:dyDescent="0.2">
      <c r="B25">
        <f t="shared" si="1"/>
        <v>22</v>
      </c>
      <c r="C25" s="119"/>
      <c r="D25" s="119"/>
      <c r="E25" s="119"/>
      <c r="F25" s="119"/>
      <c r="G25" s="120">
        <f t="shared" si="5"/>
        <v>17.462499999999999</v>
      </c>
      <c r="H25" s="120">
        <f t="shared" si="5"/>
        <v>8.7312499999999993</v>
      </c>
    </row>
    <row r="26" spans="2:8" x14ac:dyDescent="0.2">
      <c r="B26">
        <f t="shared" si="1"/>
        <v>23</v>
      </c>
      <c r="C26" s="119"/>
      <c r="D26" s="119"/>
      <c r="E26" s="119"/>
      <c r="F26" s="119"/>
      <c r="G26" s="119">
        <f t="shared" si="5"/>
        <v>18.256249999999998</v>
      </c>
      <c r="H26" s="119">
        <f t="shared" si="5"/>
        <v>9.1281249999999989</v>
      </c>
    </row>
    <row r="27" spans="2:8" x14ac:dyDescent="0.2">
      <c r="B27">
        <f t="shared" si="1"/>
        <v>24</v>
      </c>
      <c r="C27" s="119"/>
      <c r="D27" s="119"/>
      <c r="E27" s="119"/>
      <c r="F27" s="119"/>
      <c r="G27" s="120">
        <f t="shared" si="5"/>
        <v>19.049999999999997</v>
      </c>
      <c r="H27" s="120">
        <f t="shared" si="5"/>
        <v>9.5249999999999986</v>
      </c>
    </row>
    <row r="28" spans="2:8" x14ac:dyDescent="0.2">
      <c r="B28">
        <f t="shared" si="1"/>
        <v>25</v>
      </c>
      <c r="C28" s="119"/>
      <c r="D28" s="119"/>
      <c r="E28" s="119"/>
      <c r="F28" s="119"/>
      <c r="G28" s="119">
        <f t="shared" si="5"/>
        <v>19.84375</v>
      </c>
      <c r="H28" s="119">
        <f t="shared" si="5"/>
        <v>9.921875</v>
      </c>
    </row>
    <row r="29" spans="2:8" x14ac:dyDescent="0.2">
      <c r="B29">
        <f t="shared" si="1"/>
        <v>26</v>
      </c>
      <c r="C29" s="119"/>
      <c r="D29" s="119"/>
      <c r="E29" s="119"/>
      <c r="F29" s="119"/>
      <c r="G29" s="120">
        <f t="shared" si="5"/>
        <v>20.637499999999999</v>
      </c>
      <c r="H29" s="120">
        <f t="shared" si="5"/>
        <v>10.31875</v>
      </c>
    </row>
    <row r="30" spans="2:8" x14ac:dyDescent="0.2">
      <c r="B30">
        <f t="shared" si="1"/>
        <v>27</v>
      </c>
      <c r="C30" s="119"/>
      <c r="D30" s="119"/>
      <c r="E30" s="119"/>
      <c r="F30" s="119"/>
      <c r="G30" s="119">
        <f t="shared" si="5"/>
        <v>21.431249999999999</v>
      </c>
      <c r="H30" s="119">
        <f t="shared" si="5"/>
        <v>10.715624999999999</v>
      </c>
    </row>
    <row r="31" spans="2:8" x14ac:dyDescent="0.2">
      <c r="B31">
        <f t="shared" si="1"/>
        <v>28</v>
      </c>
      <c r="C31" s="119"/>
      <c r="D31" s="119"/>
      <c r="E31" s="119"/>
      <c r="F31" s="119"/>
      <c r="G31" s="120">
        <f t="shared" si="5"/>
        <v>22.224999999999998</v>
      </c>
      <c r="H31" s="120">
        <f t="shared" si="5"/>
        <v>11.112499999999999</v>
      </c>
    </row>
    <row r="32" spans="2:8" x14ac:dyDescent="0.2">
      <c r="B32">
        <f t="shared" si="1"/>
        <v>29</v>
      </c>
      <c r="C32" s="119"/>
      <c r="D32" s="119"/>
      <c r="E32" s="119"/>
      <c r="F32" s="119"/>
      <c r="G32" s="119">
        <f t="shared" si="5"/>
        <v>23.018749999999997</v>
      </c>
      <c r="H32" s="119">
        <f t="shared" si="5"/>
        <v>11.509374999999999</v>
      </c>
    </row>
    <row r="33" spans="2:8" x14ac:dyDescent="0.2">
      <c r="B33">
        <f t="shared" si="1"/>
        <v>30</v>
      </c>
      <c r="C33" s="119"/>
      <c r="D33" s="119"/>
      <c r="E33" s="119"/>
      <c r="F33" s="119"/>
      <c r="G33" s="120">
        <f t="shared" si="5"/>
        <v>23.8125</v>
      </c>
      <c r="H33" s="120">
        <f t="shared" si="5"/>
        <v>11.90625</v>
      </c>
    </row>
    <row r="34" spans="2:8" x14ac:dyDescent="0.2">
      <c r="B34">
        <f t="shared" si="1"/>
        <v>31</v>
      </c>
      <c r="C34" s="119"/>
      <c r="D34" s="119"/>
      <c r="E34" s="119"/>
      <c r="F34" s="119"/>
      <c r="G34" s="119">
        <f t="shared" si="5"/>
        <v>24.606249999999999</v>
      </c>
      <c r="H34" s="119">
        <f t="shared" si="5"/>
        <v>12.303125</v>
      </c>
    </row>
    <row r="35" spans="2:8" x14ac:dyDescent="0.2">
      <c r="B35">
        <f t="shared" si="1"/>
        <v>32</v>
      </c>
      <c r="C35" s="119"/>
      <c r="D35" s="119"/>
      <c r="E35" s="119"/>
      <c r="F35" s="119"/>
      <c r="G35" s="119"/>
      <c r="H35" s="120">
        <f t="shared" ref="H35:H66" si="6">$C$1/H$3*$B35</f>
        <v>12.7</v>
      </c>
    </row>
    <row r="36" spans="2:8" x14ac:dyDescent="0.2">
      <c r="B36">
        <f t="shared" si="1"/>
        <v>33</v>
      </c>
      <c r="C36" s="119"/>
      <c r="D36" s="119"/>
      <c r="E36" s="119"/>
      <c r="F36" s="119"/>
      <c r="G36" s="119"/>
      <c r="H36" s="119">
        <f t="shared" si="6"/>
        <v>13.096874999999999</v>
      </c>
    </row>
    <row r="37" spans="2:8" x14ac:dyDescent="0.2">
      <c r="B37">
        <f t="shared" si="1"/>
        <v>34</v>
      </c>
      <c r="C37" s="119"/>
      <c r="D37" s="119"/>
      <c r="E37" s="119"/>
      <c r="F37" s="119"/>
      <c r="G37" s="119"/>
      <c r="H37" s="120">
        <f t="shared" si="6"/>
        <v>13.493749999999999</v>
      </c>
    </row>
    <row r="38" spans="2:8" x14ac:dyDescent="0.2">
      <c r="B38">
        <f t="shared" si="1"/>
        <v>35</v>
      </c>
      <c r="C38" s="119"/>
      <c r="D38" s="119"/>
      <c r="E38" s="119"/>
      <c r="F38" s="119"/>
      <c r="G38" s="119"/>
      <c r="H38" s="119">
        <f t="shared" si="6"/>
        <v>13.890625</v>
      </c>
    </row>
    <row r="39" spans="2:8" x14ac:dyDescent="0.2">
      <c r="B39">
        <f t="shared" si="1"/>
        <v>36</v>
      </c>
      <c r="C39" s="119"/>
      <c r="D39" s="119"/>
      <c r="E39" s="119"/>
      <c r="F39" s="119"/>
      <c r="G39" s="119"/>
      <c r="H39" s="120">
        <f t="shared" si="6"/>
        <v>14.2875</v>
      </c>
    </row>
    <row r="40" spans="2:8" x14ac:dyDescent="0.2">
      <c r="B40">
        <f t="shared" si="1"/>
        <v>37</v>
      </c>
      <c r="C40" s="119"/>
      <c r="D40" s="119"/>
      <c r="E40" s="119"/>
      <c r="F40" s="119"/>
      <c r="G40" s="119"/>
      <c r="H40" s="119">
        <f t="shared" si="6"/>
        <v>14.684374999999999</v>
      </c>
    </row>
    <row r="41" spans="2:8" x14ac:dyDescent="0.2">
      <c r="B41">
        <f t="shared" si="1"/>
        <v>38</v>
      </c>
      <c r="C41" s="119"/>
      <c r="D41" s="119"/>
      <c r="E41" s="119"/>
      <c r="F41" s="119"/>
      <c r="G41" s="119"/>
      <c r="H41" s="120">
        <f t="shared" si="6"/>
        <v>15.081249999999999</v>
      </c>
    </row>
    <row r="42" spans="2:8" x14ac:dyDescent="0.2">
      <c r="B42">
        <f t="shared" si="1"/>
        <v>39</v>
      </c>
      <c r="C42" s="119"/>
      <c r="D42" s="119"/>
      <c r="E42" s="119"/>
      <c r="F42" s="119"/>
      <c r="G42" s="119"/>
      <c r="H42" s="119">
        <f t="shared" si="6"/>
        <v>15.478124999999999</v>
      </c>
    </row>
    <row r="43" spans="2:8" x14ac:dyDescent="0.2">
      <c r="B43">
        <f t="shared" si="1"/>
        <v>40</v>
      </c>
      <c r="C43" s="119"/>
      <c r="D43" s="119"/>
      <c r="E43" s="119"/>
      <c r="F43" s="119"/>
      <c r="G43" s="119"/>
      <c r="H43" s="120">
        <f t="shared" si="6"/>
        <v>15.875</v>
      </c>
    </row>
    <row r="44" spans="2:8" x14ac:dyDescent="0.2">
      <c r="B44">
        <f t="shared" si="1"/>
        <v>41</v>
      </c>
      <c r="C44" s="119"/>
      <c r="D44" s="119"/>
      <c r="E44" s="119"/>
      <c r="F44" s="119"/>
      <c r="G44" s="119"/>
      <c r="H44" s="119">
        <f t="shared" si="6"/>
        <v>16.271874999999998</v>
      </c>
    </row>
    <row r="45" spans="2:8" x14ac:dyDescent="0.2">
      <c r="B45">
        <f t="shared" si="1"/>
        <v>42</v>
      </c>
      <c r="C45" s="119"/>
      <c r="D45" s="119"/>
      <c r="E45" s="119"/>
      <c r="F45" s="119"/>
      <c r="G45" s="119"/>
      <c r="H45" s="120">
        <f t="shared" si="6"/>
        <v>16.668749999999999</v>
      </c>
    </row>
    <row r="46" spans="2:8" x14ac:dyDescent="0.2">
      <c r="B46">
        <f t="shared" si="1"/>
        <v>43</v>
      </c>
      <c r="C46" s="119"/>
      <c r="D46" s="119"/>
      <c r="E46" s="119"/>
      <c r="F46" s="119"/>
      <c r="G46" s="119"/>
      <c r="H46" s="119">
        <f t="shared" si="6"/>
        <v>17.065625000000001</v>
      </c>
    </row>
    <row r="47" spans="2:8" x14ac:dyDescent="0.2">
      <c r="B47">
        <f t="shared" si="1"/>
        <v>44</v>
      </c>
      <c r="C47" s="119"/>
      <c r="D47" s="119"/>
      <c r="E47" s="119"/>
      <c r="F47" s="119"/>
      <c r="G47" s="119"/>
      <c r="H47" s="120">
        <f t="shared" si="6"/>
        <v>17.462499999999999</v>
      </c>
    </row>
    <row r="48" spans="2:8" x14ac:dyDescent="0.2">
      <c r="B48">
        <f t="shared" si="1"/>
        <v>45</v>
      </c>
      <c r="C48" s="119"/>
      <c r="D48" s="119"/>
      <c r="E48" s="119"/>
      <c r="F48" s="119"/>
      <c r="G48" s="119"/>
      <c r="H48" s="119">
        <f t="shared" si="6"/>
        <v>17.859375</v>
      </c>
    </row>
    <row r="49" spans="2:8" x14ac:dyDescent="0.2">
      <c r="B49">
        <f t="shared" si="1"/>
        <v>46</v>
      </c>
      <c r="C49" s="119"/>
      <c r="D49" s="119"/>
      <c r="E49" s="119"/>
      <c r="F49" s="119"/>
      <c r="G49" s="119"/>
      <c r="H49" s="120">
        <f t="shared" si="6"/>
        <v>18.256249999999998</v>
      </c>
    </row>
    <row r="50" spans="2:8" x14ac:dyDescent="0.2">
      <c r="B50">
        <f t="shared" si="1"/>
        <v>47</v>
      </c>
      <c r="C50" s="119"/>
      <c r="D50" s="119"/>
      <c r="E50" s="119"/>
      <c r="F50" s="119"/>
      <c r="G50" s="119"/>
      <c r="H50" s="119">
        <f t="shared" si="6"/>
        <v>18.653124999999999</v>
      </c>
    </row>
    <row r="51" spans="2:8" x14ac:dyDescent="0.2">
      <c r="B51">
        <f t="shared" si="1"/>
        <v>48</v>
      </c>
      <c r="C51" s="119"/>
      <c r="D51" s="119"/>
      <c r="E51" s="119"/>
      <c r="F51" s="119"/>
      <c r="G51" s="119"/>
      <c r="H51" s="120">
        <f t="shared" si="6"/>
        <v>19.049999999999997</v>
      </c>
    </row>
    <row r="52" spans="2:8" x14ac:dyDescent="0.2">
      <c r="B52">
        <f t="shared" si="1"/>
        <v>49</v>
      </c>
      <c r="C52" s="119"/>
      <c r="D52" s="119"/>
      <c r="E52" s="119"/>
      <c r="F52" s="119"/>
      <c r="G52" s="119"/>
      <c r="H52" s="119">
        <f t="shared" si="6"/>
        <v>19.446874999999999</v>
      </c>
    </row>
    <row r="53" spans="2:8" x14ac:dyDescent="0.2">
      <c r="B53">
        <f t="shared" si="1"/>
        <v>50</v>
      </c>
      <c r="C53" s="119"/>
      <c r="D53" s="119"/>
      <c r="E53" s="119"/>
      <c r="F53" s="119"/>
      <c r="G53" s="119"/>
      <c r="H53" s="120">
        <f t="shared" si="6"/>
        <v>19.84375</v>
      </c>
    </row>
    <row r="54" spans="2:8" x14ac:dyDescent="0.2">
      <c r="B54">
        <f t="shared" si="1"/>
        <v>51</v>
      </c>
      <c r="C54" s="119"/>
      <c r="D54" s="119"/>
      <c r="E54" s="119"/>
      <c r="F54" s="119"/>
      <c r="G54" s="119"/>
      <c r="H54" s="119">
        <f t="shared" si="6"/>
        <v>20.240624999999998</v>
      </c>
    </row>
    <row r="55" spans="2:8" x14ac:dyDescent="0.2">
      <c r="B55">
        <f t="shared" si="1"/>
        <v>52</v>
      </c>
      <c r="C55" s="119"/>
      <c r="D55" s="119"/>
      <c r="E55" s="119"/>
      <c r="F55" s="119"/>
      <c r="G55" s="119"/>
      <c r="H55" s="120">
        <f t="shared" si="6"/>
        <v>20.637499999999999</v>
      </c>
    </row>
    <row r="56" spans="2:8" x14ac:dyDescent="0.2">
      <c r="B56">
        <f t="shared" si="1"/>
        <v>53</v>
      </c>
      <c r="C56" s="119"/>
      <c r="D56" s="119"/>
      <c r="E56" s="119"/>
      <c r="F56" s="119"/>
      <c r="G56" s="119"/>
      <c r="H56" s="119">
        <f t="shared" si="6"/>
        <v>21.034374999999997</v>
      </c>
    </row>
    <row r="57" spans="2:8" x14ac:dyDescent="0.2">
      <c r="B57">
        <f t="shared" si="1"/>
        <v>54</v>
      </c>
      <c r="C57" s="119"/>
      <c r="D57" s="119"/>
      <c r="E57" s="119"/>
      <c r="F57" s="119"/>
      <c r="G57" s="119"/>
      <c r="H57" s="120">
        <f t="shared" si="6"/>
        <v>21.431249999999999</v>
      </c>
    </row>
    <row r="58" spans="2:8" x14ac:dyDescent="0.2">
      <c r="B58">
        <f t="shared" si="1"/>
        <v>55</v>
      </c>
      <c r="C58" s="119"/>
      <c r="D58" s="119"/>
      <c r="E58" s="119"/>
      <c r="F58" s="119"/>
      <c r="G58" s="119"/>
      <c r="H58" s="119">
        <f t="shared" si="6"/>
        <v>21.828125</v>
      </c>
    </row>
    <row r="59" spans="2:8" x14ac:dyDescent="0.2">
      <c r="B59">
        <f t="shared" si="1"/>
        <v>56</v>
      </c>
      <c r="C59" s="119"/>
      <c r="D59" s="119"/>
      <c r="E59" s="119"/>
      <c r="F59" s="119"/>
      <c r="G59" s="119"/>
      <c r="H59" s="120">
        <f t="shared" si="6"/>
        <v>22.224999999999998</v>
      </c>
    </row>
    <row r="60" spans="2:8" x14ac:dyDescent="0.2">
      <c r="B60">
        <f t="shared" si="1"/>
        <v>57</v>
      </c>
      <c r="C60" s="119"/>
      <c r="D60" s="119"/>
      <c r="E60" s="119"/>
      <c r="F60" s="119"/>
      <c r="G60" s="119"/>
      <c r="H60" s="119">
        <f>$C$1/H$3*$B60</f>
        <v>22.621874999999999</v>
      </c>
    </row>
    <row r="61" spans="2:8" x14ac:dyDescent="0.2">
      <c r="B61">
        <f t="shared" si="1"/>
        <v>58</v>
      </c>
      <c r="C61" s="119"/>
      <c r="D61" s="119"/>
      <c r="E61" s="119"/>
      <c r="F61" s="119"/>
      <c r="G61" s="119"/>
      <c r="H61" s="120">
        <f t="shared" si="6"/>
        <v>23.018749999999997</v>
      </c>
    </row>
    <row r="62" spans="2:8" x14ac:dyDescent="0.2">
      <c r="B62">
        <f t="shared" si="1"/>
        <v>59</v>
      </c>
      <c r="C62" s="119"/>
      <c r="D62" s="119"/>
      <c r="E62" s="119"/>
      <c r="F62" s="119"/>
      <c r="G62" s="119"/>
      <c r="H62" s="119">
        <f t="shared" si="6"/>
        <v>23.415624999999999</v>
      </c>
    </row>
    <row r="63" spans="2:8" x14ac:dyDescent="0.2">
      <c r="B63">
        <f t="shared" si="1"/>
        <v>60</v>
      </c>
      <c r="C63" s="119"/>
      <c r="D63" s="119"/>
      <c r="E63" s="119"/>
      <c r="F63" s="119"/>
      <c r="G63" s="119"/>
      <c r="H63" s="120">
        <f t="shared" si="6"/>
        <v>23.8125</v>
      </c>
    </row>
    <row r="64" spans="2:8" x14ac:dyDescent="0.2">
      <c r="B64">
        <f t="shared" si="1"/>
        <v>61</v>
      </c>
      <c r="C64" s="119"/>
      <c r="D64" s="119"/>
      <c r="E64" s="119"/>
      <c r="F64" s="119"/>
      <c r="G64" s="119"/>
      <c r="H64" s="119">
        <f t="shared" si="6"/>
        <v>24.209374999999998</v>
      </c>
    </row>
    <row r="65" spans="2:8" x14ac:dyDescent="0.2">
      <c r="B65">
        <f t="shared" si="1"/>
        <v>62</v>
      </c>
      <c r="C65" s="119"/>
      <c r="D65" s="119"/>
      <c r="E65" s="119"/>
      <c r="F65" s="119"/>
      <c r="G65" s="119"/>
      <c r="H65" s="120">
        <f t="shared" si="6"/>
        <v>24.606249999999999</v>
      </c>
    </row>
    <row r="66" spans="2:8" x14ac:dyDescent="0.2">
      <c r="B66">
        <f t="shared" si="1"/>
        <v>63</v>
      </c>
      <c r="C66" s="119"/>
      <c r="D66" s="119"/>
      <c r="E66" s="119"/>
      <c r="F66" s="119"/>
      <c r="G66" s="119"/>
      <c r="H66" s="119">
        <f t="shared" si="6"/>
        <v>25.003124999999997</v>
      </c>
    </row>
  </sheetData>
  <phoneticPr fontId="4"/>
  <pageMargins left="0.75" right="0.75" top="1" bottom="1" header="0.51200000000000001" footer="0.51200000000000001"/>
  <pageSetup paperSize="9" scale="80" orientation="portrait" horizontalDpi="0" verticalDpi="0" r:id="rId1"/>
  <headerFooter alignWithMargins="0">
    <oddHeader>&amp;A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ﾉｰﾏﾙﾊﾞﾈ測定結果</vt:lpstr>
      <vt:lpstr>text</vt:lpstr>
      <vt:lpstr>ｽﾍﾟｰｻ追加検討</vt:lpstr>
      <vt:lpstr>追加ﾊﾞﾈ検討</vt:lpstr>
      <vt:lpstr>規格ﾊﾞﾈ検討</vt:lpstr>
      <vt:lpstr>ｻﾐﾆNO5359ﾊﾞﾈ荷重測定結果</vt:lpstr>
      <vt:lpstr>懸念点&amp;結果</vt:lpstr>
      <vt:lpstr>inch-mm換算</vt:lpstr>
      <vt:lpstr>text!Print_Area</vt:lpstr>
    </vt:vector>
  </TitlesOfParts>
  <Company>セイコーエプソン（株）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0696005</dc:creator>
  <cp:lastModifiedBy>赤塚靖</cp:lastModifiedBy>
  <cp:lastPrinted>2003-01-03T13:22:13Z</cp:lastPrinted>
  <dcterms:created xsi:type="dcterms:W3CDTF">1999-10-04T02:29:55Z</dcterms:created>
  <dcterms:modified xsi:type="dcterms:W3CDTF">2023-03-18T09:16:44Z</dcterms:modified>
</cp:coreProperties>
</file>